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gPCuB4F9RgTo1bsXB9sq6topuw9eKS0hrR2imJkSXUsXlBV7uepO+fsn1SWaVbBpf4Twpc5IowloQvKnl5qRzQ==" workbookSaltValue="nP8b3dbpaLvIhJMYBgGE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C30" i="7" s="1"/>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AQ10" i="21"/>
  <c r="AO29" i="17"/>
  <c r="S10" i="17"/>
  <c r="BK17" i="11"/>
  <c r="Q16" i="17"/>
  <c r="BM18" i="11"/>
  <c r="BF16" i="11"/>
  <c r="BH17" i="11"/>
  <c r="BL22" i="11"/>
  <c r="AQ12" i="21"/>
  <c r="BI22" i="11"/>
  <c r="BH25" i="11"/>
  <c r="BK10" i="11"/>
  <c r="BI21" i="11"/>
  <c r="T14" i="20"/>
  <c r="BF25" i="8"/>
  <c r="BG16" i="8"/>
  <c r="BD9" i="8"/>
  <c r="BF9" i="8"/>
  <c r="L22" i="2"/>
  <c r="L29" i="2"/>
  <c r="L16" i="2"/>
  <c r="L17" i="2"/>
  <c r="X19" i="16"/>
  <c r="L18" i="2"/>
  <c r="AO14" i="21"/>
  <c r="L20" i="2"/>
  <c r="AA11" i="16"/>
  <c r="L21" i="2"/>
  <c r="AP14" i="16"/>
  <c r="AA9" i="16"/>
  <c r="V9" i="16"/>
  <c r="T23" i="17"/>
  <c r="T26" i="17" s="1"/>
  <c r="T30" i="17" s="1"/>
  <c r="BG16" i="13"/>
  <c r="BE17" i="13"/>
  <c r="BE16" i="13"/>
  <c r="X32" i="20"/>
  <c r="G30" i="14"/>
  <c r="G23" i="14"/>
  <c r="BF17" i="8" l="1"/>
  <c r="BD12" i="8"/>
  <c r="AK31"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BL10" i="11"/>
  <c r="BL28" i="11"/>
  <c r="BF12" i="11"/>
  <c r="T17" i="11"/>
  <c r="R28" i="14"/>
  <c r="S11" i="17"/>
  <c r="BV10" i="16"/>
  <c r="BW16" i="20"/>
  <c r="BW17" i="20"/>
  <c r="BU21" i="17"/>
  <c r="BU11" i="17"/>
  <c r="BJ28" i="11"/>
  <c r="AZ9" i="11"/>
  <c r="AZ14" i="11" s="1"/>
  <c r="AZ13" i="11"/>
  <c r="BI19" i="11"/>
  <c r="BI25" i="11"/>
  <c r="BG22" i="11"/>
  <c r="Q18" i="20"/>
  <c r="Q23" i="20" s="1"/>
  <c r="V16" i="11"/>
  <c r="Z14" i="17"/>
  <c r="BJ10" i="11"/>
  <c r="AZ25" i="11"/>
  <c r="AZ30" i="11" s="1"/>
  <c r="BK20" i="11"/>
  <c r="BH21" i="11"/>
  <c r="BH25" i="16"/>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AW32" i="11"/>
  <c r="AV32" i="2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<sst xmlns="http://schemas.openxmlformats.org/spreadsheetml/2006/main" count="2662" uniqueCount="1174">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</sst>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qGGe6mrt3bdPu5fDSfwZYuyOEywJymRe7a4bQPqrcLMK5Xm6JSxpKPLlKO6Eqrxu/jst9uAf8ITyIBFJhh7tnw==" saltValue="dl/3TY86vaEm/WEAYofr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CANARIAS</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59</v>
      </c>
      <c r="D10" s="239">
        <f>IF(ISNUMBER(Datos!I10),Datos!I10," - ")</f>
        <v>58</v>
      </c>
      <c r="E10" s="240">
        <f>IF(ISNUMBER(Datos!J10),Datos!J10," - ")</f>
        <v>111</v>
      </c>
      <c r="F10" s="240">
        <f>IF(ISNUMBER(Datos!K10),Datos!K10," - ")</f>
        <v>124</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-0.22033898305084745</v>
      </c>
      <c r="L10" s="1402">
        <f>IF(ISNUMBER(NºAsuntos!I10/NºAsuntos!G10),(NºAsuntos!I10/NºAsuntos!G10)*11," - ")</f>
        <v>4.080645161290323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8.0103866128101551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59</v>
      </c>
      <c r="D14" s="1407">
        <f>SUBTOTAL(9,D9:D13)</f>
        <v>58</v>
      </c>
      <c r="E14" s="1408">
        <f>SUBTOTAL(9,E9:E13)</f>
        <v>111</v>
      </c>
      <c r="F14" s="1409">
        <f>SUBTOTAL(9,F9:F13)</f>
        <v>124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1458</v>
      </c>
      <c r="D17" s="239">
        <f>IF(ISNUMBER(IF(D_I="SI",Datos!I17,Datos!I17+Datos!AC17)),IF(D_I="SI",Datos!I17,Datos!I17+Datos!AC17)," - ")</f>
        <v>2013</v>
      </c>
      <c r="E17" s="240">
        <f>IF(ISNUMBER(IF(D_I="SI",Datos!J17,Datos!J17+Datos!AD17)),IF(D_I="SI",Datos!J17,Datos!J17+Datos!AD17)," - ")</f>
        <v>7027</v>
      </c>
      <c r="F17" s="240">
        <f>IF(ISNUMBER(IF(D_I="SI",Datos!K17,Datos!K17+Datos!AE17)),IF(D_I="SI",Datos!K17,Datos!K17+Datos!AE17)," - ")</f>
        <v>6541</v>
      </c>
      <c r="G17" s="1390" t="str">
        <f>IF(Datos!E17&lt;&gt;"",Datos!E17,Datos!D17)</f>
        <v>04</v>
      </c>
      <c r="H17" s="241">
        <f>IF(ISNUMBER(IF(D_I="SI",Datos!L17,Datos!L17+Datos!AF17)),IF(D_I="SI",Datos!L17,Datos!L17+Datos!AF17)," - ")</f>
        <v>1944</v>
      </c>
      <c r="I17" s="1400" t="str">
        <f>IF(ISNUMBER(Datos!AS17/Datos!BM17),Datos!AS17/Datos!BM17," - ")</f>
        <v xml:space="preserve"> - </v>
      </c>
      <c r="J17" s="1401">
        <f>IF(ISNUMBER(Datos!BY17/Datos!CN17),Datos!BY17/Datos!CN17," - ")</f>
        <v>0</v>
      </c>
      <c r="K17" s="244">
        <f t="shared" si="3"/>
        <v>0.33333333333333331</v>
      </c>
      <c r="L17" s="1402">
        <f>IF(ISNUMBER(NºAsuntos!I17/NºAsuntos!G17),(NºAsuntos!I17/NºAsuntos!G17)*11," - ")</f>
        <v>3.2692248891606783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58</v>
      </c>
      <c r="E18" s="240">
        <f>IF(ISNUMBER(IF(D_I="SI",Datos!J18,Datos!J18+Datos!AD18)),IF(D_I="SI",Datos!J18,Datos!J18+Datos!AD18)," - ")</f>
        <v>791</v>
      </c>
      <c r="F18" s="240">
        <f>IF(ISNUMBER(IF(D_I="SI",Datos!K18,Datos!K18+Datos!AE18)),IF(D_I="SI",Datos!K18,Datos!K18+Datos!AE18)," - ")</f>
        <v>799</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-0.10256410256410256</v>
      </c>
      <c r="L18" s="1402">
        <f>IF(ISNUMBER(NºAsuntos!I18/NºAsuntos!G18),(NºAsuntos!I18/NºAsuntos!G18)*11," - ")</f>
        <v>0.96370463078848556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268</v>
      </c>
      <c r="D21" s="239">
        <f>IF(ISNUMBER(Datos!I21),Datos!I21," - ")</f>
        <v>105</v>
      </c>
      <c r="E21" s="240">
        <f>IF(ISNUMBER(Datos!J21),Datos!J21," - ")</f>
        <v>343</v>
      </c>
      <c r="F21" s="240">
        <f>IF(ISNUMBER(Datos!K21),Datos!K21," - ")</f>
        <v>409</v>
      </c>
      <c r="G21" s="1390" t="str">
        <f>IF(Datos!E21&lt;&gt;"",Datos!E21,Datos!D21)</f>
        <v>09</v>
      </c>
      <c r="H21" s="241">
        <f>IF(ISNUMBER(Datos!L21),Datos!L21," - ")</f>
        <v>202</v>
      </c>
      <c r="I21" s="1400" t="str">
        <f>IF(ISNUMBER(Datos!AS21/Datos!BM21),Datos!AS21/Datos!BM21," - ")</f>
        <v xml:space="preserve"> - </v>
      </c>
      <c r="J21" s="1401" t="str">
        <f>IF(ISNUMBER(Datos!BY21/Datos!CN21),Datos!BY21/Datos!CN21," - ")</f>
        <v xml:space="preserve"> - </v>
      </c>
      <c r="K21" s="244">
        <f t="shared" si="3"/>
        <v>-0.2462686567164179</v>
      </c>
      <c r="L21" s="1402">
        <f>IF(ISNUMBER(NºAsuntos!I21/NºAsuntos!G21),(NºAsuntos!I21/NºAsuntos!G21)*11," - ")</f>
        <v>5.4327628361858187</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1804</v>
      </c>
      <c r="D23" s="1407">
        <f>SUBTOTAL(9,D16:D22)</f>
        <v>2176</v>
      </c>
      <c r="E23" s="1408">
        <f>SUBTOTAL(9,E16:E22)</f>
        <v>8161</v>
      </c>
      <c r="F23" s="1408">
        <f>SUBTOTAL(9,F16:F22)</f>
        <v>7749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2</v>
      </c>
      <c r="B28" s="1461" t="str">
        <f>Datos!A28</f>
        <v xml:space="preserve">Jdos. de lo Social                              </v>
      </c>
      <c r="C28" s="239">
        <f>IF(ISNUMBER(H28-E28+F28),H28-E28+F28," - ")</f>
        <v>180</v>
      </c>
      <c r="D28" s="239">
        <f>IF(ISNUMBER(Datos!I28),Datos!I28," - ")</f>
        <v>243</v>
      </c>
      <c r="E28" s="240">
        <f>IF(ISNUMBER(Datos!J28),Datos!J28," - ")</f>
        <v>1594</v>
      </c>
      <c r="F28" s="240">
        <f>IF(ISNUMBER(Datos!K28),Datos!K28," - ")</f>
        <v>1444</v>
      </c>
      <c r="G28" s="1390" t="str">
        <f>IF(Datos!E28&lt;&gt;"",Datos!E28,Datos!D28)</f>
        <v>05</v>
      </c>
      <c r="H28" s="241">
        <f>IF(ISNUMBER(Datos!L28),Datos!L28," - ")</f>
        <v>330</v>
      </c>
      <c r="I28" s="1400" t="str">
        <f>IF(ISNUMBER(Datos!AS28/Datos!BM28),Datos!AS28/Datos!BM28," - ")</f>
        <v xml:space="preserve"> - </v>
      </c>
      <c r="J28" s="1401" t="str">
        <f>IF(ISNUMBER(Datos!BY28/Datos!CN28),Datos!BY28/Datos!CN28," - ")</f>
        <v xml:space="preserve"> - </v>
      </c>
      <c r="K28" s="244">
        <f>IF(ISNUMBER((E28-F28)/C28),(E28-F28)/C28," - ")</f>
        <v>0.83333333333333337</v>
      </c>
      <c r="L28" s="1402">
        <f>IF(ISNUMBER(NºAsuntos!I28/NºAsuntos!G28),(NºAsuntos!I28/NºAsuntos!G28)*11," - ")</f>
        <v>2.5138504155124655</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180</v>
      </c>
      <c r="D30" s="1407">
        <f>SUBTOTAL(9,D28:D29)</f>
        <v>243</v>
      </c>
      <c r="E30" s="1408">
        <f>SUBTOTAL(9,E28:E29)</f>
        <v>1594</v>
      </c>
      <c r="F30" s="1408">
        <f>SUBTOTAL(9,F28:F29)</f>
        <v>1444</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2043</v>
      </c>
      <c r="D31" s="1435">
        <f>SUBTOTAL(9,D9:D30)</f>
        <v>2477</v>
      </c>
      <c r="E31" s="1436">
        <f>SUBTOTAL(9,E9:E30)</f>
        <v>9866</v>
      </c>
      <c r="F31" s="1436">
        <f>SUBTOTAL(9,F9:F30)</f>
        <v>9317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yPy3asb2Lt679kjXjzBVoJq9TiNAsddcfMgmVE69dykg4mda/phhUbN9f9h9/TZqFSlaYtSzuXNZNbjHLCgvbw==" saltValue="Z6hftKefyggbHcTs7d07v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rr50kR846PQkobknruEPG/eFIdw+0wrdWCHVNkobNdqH4h17zeWXK3R4WC44m7TwMcOmo/TQXGfm18x0KREBKQ==" saltValue="vMZOHz9srGt1VsYhvOLO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t="s">
        <v>1070</v>
      </c>
      <c r="J9" s="194" t="s">
        <v>1057</v>
      </c>
      <c r="K9" s="194" t="s">
        <v>1133</v>
      </c>
      <c r="L9" s="194" t="s">
        <v>1075</v>
      </c>
      <c r="M9" s="194" t="s">
        <v>646</v>
      </c>
      <c r="N9" s="194" t="s">
        <v>661</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1056</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58</v>
      </c>
      <c r="J10" s="194">
        <v>111</v>
      </c>
      <c r="K10" s="194">
        <v>124</v>
      </c>
      <c r="L10" s="194">
        <v>46</v>
      </c>
      <c r="M10" s="194">
        <v>45</v>
      </c>
      <c r="N10" s="194">
        <v>61</v>
      </c>
      <c r="O10" s="194">
        <v>8</v>
      </c>
      <c r="P10" s="194">
        <v>9</v>
      </c>
      <c r="Q10" s="194">
        <v>4</v>
      </c>
      <c r="R10" s="194">
        <v>18</v>
      </c>
      <c r="S10" s="194">
        <v>61</v>
      </c>
      <c r="T10" s="194">
        <v>77</v>
      </c>
      <c r="U10" s="194">
        <v>70</v>
      </c>
      <c r="V10" s="194">
        <v>58</v>
      </c>
      <c r="W10" s="194">
        <v>36</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1050</v>
      </c>
      <c r="AT10" s="205"/>
      <c r="AU10" s="213"/>
      <c r="AV10" s="205"/>
      <c r="AW10" s="213"/>
      <c r="AX10" s="205"/>
      <c r="AY10" s="138">
        <f t="shared" ref="AY10:BC10" si="0">IF(ISNUMBER(S10),S10," - ")</f>
        <v>61</v>
      </c>
      <c r="AZ10" s="139">
        <f t="shared" si="0"/>
        <v>77</v>
      </c>
      <c r="BA10" s="139">
        <f t="shared" si="0"/>
        <v>70</v>
      </c>
      <c r="BB10" s="139">
        <f t="shared" si="0"/>
        <v>58</v>
      </c>
      <c r="BC10" s="135">
        <f t="shared" si="0"/>
        <v>36</v>
      </c>
      <c r="BD10" s="136">
        <f>IF(ISNUMBER(BA10/AZ10),BA10/AZ10," - ")</f>
        <v>0.90909090909090906</v>
      </c>
      <c r="BE10" s="137">
        <f>IF(ISNUMBER(BB10/BA10),BB10/BA10, " - ")</f>
        <v>0.82857142857142863</v>
      </c>
      <c r="BF10" s="137">
        <f>IF(ISNUMBER(BC10/BA10),BC10/BA10, " - ")</f>
        <v>0.51428571428571423</v>
      </c>
      <c r="BG10" s="209">
        <f>IF(ISNUMBER((AY10+AZ10)/BA10),(AY10+AZ10)/BA10," - ")</f>
        <v>1.9714285714285715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5822</v>
      </c>
      <c r="J12" s="196">
        <v>8801</v>
      </c>
      <c r="K12" s="196">
        <v>8247</v>
      </c>
      <c r="L12" s="196">
        <v>6194</v>
      </c>
      <c r="M12" s="196">
        <v>1859</v>
      </c>
      <c r="N12" s="196">
        <v>4458</v>
      </c>
      <c r="O12" s="194">
        <v>2099</v>
      </c>
      <c r="P12" s="196">
        <v>1133</v>
      </c>
      <c r="Q12" s="196">
        <v>998</v>
      </c>
      <c r="R12" s="196">
        <v>6220</v>
      </c>
      <c r="S12" s="196">
        <v>5432</v>
      </c>
      <c r="T12" s="196">
        <v>6747</v>
      </c>
      <c r="U12" s="196">
        <v>6271</v>
      </c>
      <c r="V12" s="196">
        <v>5822</v>
      </c>
      <c r="W12" s="196">
        <v>1406</v>
      </c>
      <c r="X12" s="202">
        <v>2549</v>
      </c>
      <c r="Y12" s="204">
        <v>99</v>
      </c>
      <c r="Z12" s="194">
        <v>441</v>
      </c>
      <c r="AA12" s="194">
        <v>418</v>
      </c>
      <c r="AB12" s="194">
        <v>116</v>
      </c>
      <c r="AC12" s="196">
        <v>0</v>
      </c>
      <c r="AD12" s="196">
        <v>0</v>
      </c>
      <c r="AE12" s="196">
        <v>0</v>
      </c>
      <c r="AF12" s="202">
        <v>0</v>
      </c>
      <c r="AG12" s="215">
        <v>146</v>
      </c>
      <c r="AH12" s="196">
        <v>398</v>
      </c>
      <c r="AI12" s="196">
        <v>445</v>
      </c>
      <c r="AJ12" s="216">
        <v>99</v>
      </c>
      <c r="AK12" s="195">
        <v>0</v>
      </c>
      <c r="AL12" s="196">
        <v>0</v>
      </c>
      <c r="AM12" s="196">
        <v>0</v>
      </c>
      <c r="AN12" s="202">
        <v>0</v>
      </c>
      <c r="AO12" s="283">
        <v>7</v>
      </c>
      <c r="AP12" s="168">
        <v>7</v>
      </c>
      <c r="AQ12" s="168">
        <v>7</v>
      </c>
      <c r="AR12" s="167">
        <v>7</v>
      </c>
      <c r="AS12" s="381" t="s">
        <v>1059</v>
      </c>
      <c r="AT12" s="216"/>
      <c r="AU12" s="215"/>
      <c r="AV12" s="216"/>
      <c r="AW12" s="215"/>
      <c r="AX12" s="216"/>
      <c r="AY12" s="136">
        <f t="shared" si="1"/>
        <v>5578</v>
      </c>
      <c r="AZ12" s="137">
        <f t="shared" si="1"/>
        <v>7145</v>
      </c>
      <c r="BA12" s="137">
        <f t="shared" si="1"/>
        <v>6716</v>
      </c>
      <c r="BB12" s="137">
        <f t="shared" si="1"/>
        <v>5921</v>
      </c>
      <c r="BC12" s="135">
        <f>IF(ISNUMBER(X12),X12," - ")</f>
        <v>2549</v>
      </c>
      <c r="BD12" s="136">
        <f t="shared" si="2"/>
        <v>0.93995801259622114</v>
      </c>
      <c r="BE12" s="137">
        <f t="shared" si="3"/>
        <v>0.88162596783799885</v>
      </c>
      <c r="BF12" s="137">
        <f t="shared" si="4"/>
        <v>0.3795413936867183</v>
      </c>
      <c r="BG12" s="209">
        <f t="shared" si="5"/>
        <v>1.8944312090530078</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5880</v>
      </c>
      <c r="J14" s="197">
        <f t="shared" si="7"/>
        <v>8912</v>
      </c>
      <c r="K14" s="197">
        <f t="shared" si="7"/>
        <v>8371</v>
      </c>
      <c r="L14" s="197">
        <f t="shared" si="7"/>
        <v>6240</v>
      </c>
      <c r="M14" s="197">
        <f t="shared" si="7"/>
        <v>1904</v>
      </c>
      <c r="N14" s="197">
        <f t="shared" si="7"/>
        <v>4519</v>
      </c>
      <c r="O14" s="197">
        <f t="shared" si="7"/>
        <v>2107</v>
      </c>
      <c r="P14" s="197">
        <f t="shared" si="7"/>
        <v>1142</v>
      </c>
      <c r="Q14" s="197">
        <f t="shared" si="7"/>
        <v>1002</v>
      </c>
      <c r="R14" s="197">
        <f t="shared" si="7"/>
        <v>6238</v>
      </c>
      <c r="S14" s="197">
        <f t="shared" si="7"/>
        <v>5493</v>
      </c>
      <c r="T14" s="197">
        <f t="shared" si="7"/>
        <v>6824</v>
      </c>
      <c r="U14" s="197">
        <f t="shared" si="7"/>
        <v>6341</v>
      </c>
      <c r="V14" s="197">
        <f t="shared" si="7"/>
        <v>5880</v>
      </c>
      <c r="W14" s="197">
        <f t="shared" si="7"/>
        <v>1442</v>
      </c>
      <c r="X14" s="197">
        <f t="shared" si="7"/>
        <v>2575</v>
      </c>
      <c r="Y14" s="197">
        <f t="shared" si="7"/>
        <v>99</v>
      </c>
      <c r="Z14" s="197">
        <f t="shared" si="7"/>
        <v>441</v>
      </c>
      <c r="AA14" s="197">
        <f t="shared" si="7"/>
        <v>418</v>
      </c>
      <c r="AB14" s="197">
        <f t="shared" si="7"/>
        <v>116</v>
      </c>
      <c r="AC14" s="197">
        <f t="shared" si="7"/>
        <v>0</v>
      </c>
      <c r="AD14" s="197">
        <f t="shared" si="7"/>
        <v>0</v>
      </c>
      <c r="AE14" s="197">
        <f t="shared" si="7"/>
        <v>0</v>
      </c>
      <c r="AF14" s="197">
        <f>SUBTOTAL(9,AF9:AF13)</f>
        <v>0</v>
      </c>
      <c r="AG14" s="197">
        <f t="shared" ref="AG14:AT14" si="8">SUBTOTAL(9,AG8:AG13)</f>
        <v>146</v>
      </c>
      <c r="AH14" s="197">
        <f t="shared" si="8"/>
        <v>398</v>
      </c>
      <c r="AI14" s="197">
        <f t="shared" si="8"/>
        <v>445</v>
      </c>
      <c r="AJ14" s="197">
        <f t="shared" si="8"/>
        <v>99</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5639</v>
      </c>
      <c r="AZ14" s="197">
        <f>SUBTOTAL(9,AZ8:AZ13)</f>
        <v>7222</v>
      </c>
      <c r="BA14" s="197">
        <f>SUBTOTAL(9,BA8:BA13)</f>
        <v>6786</v>
      </c>
      <c r="BB14" s="197">
        <f>SUBTOTAL(9,BB8:BB13)</f>
        <v>5979</v>
      </c>
      <c r="BC14" s="197">
        <f>SUBTOTAL(9,BC8:BC13)</f>
        <v>2585</v>
      </c>
      <c r="BD14" s="219">
        <f>IF(ISNUMBER(BA14/AZ14),BA14/AZ14," - ")</f>
        <v>0.93962891165882023</v>
      </c>
      <c r="BE14" s="220">
        <f>IF(ISNUMBER(BB14/BA14),BB14/BA14, " - ")</f>
        <v>0.88107869142351902</v>
      </c>
      <c r="BF14" s="220">
        <f>IF(ISNUMBER(BC14/BA14),BC14/BA14, " - ")</f>
        <v>0.38093132920719125</v>
      </c>
      <c r="BG14" s="221">
        <f>IF(ISNUMBER((AY14+AZ14)/BA14),(AY14+AZ14)/BA14," - ")</f>
        <v>1.8952254641909814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t="s">
        <v>644</v>
      </c>
      <c r="J16" s="196" t="s">
        <v>640</v>
      </c>
      <c r="K16" s="196" t="s">
        <v>641</v>
      </c>
      <c r="L16" s="196" t="s">
        <v>642</v>
      </c>
      <c r="M16" s="196" t="s">
        <v>647</v>
      </c>
      <c r="N16" s="196" t="s">
        <v>196</v>
      </c>
      <c r="O16" s="194" t="s">
        <v>283</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688</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2013</v>
      </c>
      <c r="J17" s="196">
        <v>7027</v>
      </c>
      <c r="K17" s="196">
        <v>6541</v>
      </c>
      <c r="L17" s="196">
        <v>1944</v>
      </c>
      <c r="M17" s="196">
        <v>1014</v>
      </c>
      <c r="N17" s="196">
        <v>4382</v>
      </c>
      <c r="O17" s="194">
        <v>103</v>
      </c>
      <c r="P17" s="196">
        <v>192</v>
      </c>
      <c r="Q17" s="196">
        <v>258</v>
      </c>
      <c r="R17" s="196">
        <v>430</v>
      </c>
      <c r="S17" s="196">
        <v>1846</v>
      </c>
      <c r="T17" s="196">
        <v>6373</v>
      </c>
      <c r="U17" s="196">
        <v>6224</v>
      </c>
      <c r="V17" s="196">
        <v>2013</v>
      </c>
      <c r="W17" s="196">
        <v>912</v>
      </c>
      <c r="X17" s="202">
        <v>4349</v>
      </c>
      <c r="Y17" s="215">
        <v>0</v>
      </c>
      <c r="Z17" s="196">
        <v>0</v>
      </c>
      <c r="AA17" s="196">
        <v>0</v>
      </c>
      <c r="AB17" s="196">
        <v>0</v>
      </c>
      <c r="AC17" s="196">
        <v>10</v>
      </c>
      <c r="AD17" s="196">
        <v>128</v>
      </c>
      <c r="AE17" s="196">
        <v>44</v>
      </c>
      <c r="AF17" s="202">
        <v>94</v>
      </c>
      <c r="AG17" s="215">
        <v>0</v>
      </c>
      <c r="AH17" s="196">
        <v>0</v>
      </c>
      <c r="AI17" s="196">
        <v>0</v>
      </c>
      <c r="AJ17" s="216">
        <v>0</v>
      </c>
      <c r="AK17" s="195">
        <v>8</v>
      </c>
      <c r="AL17" s="196">
        <v>55</v>
      </c>
      <c r="AM17" s="196">
        <v>53</v>
      </c>
      <c r="AN17" s="202">
        <v>10</v>
      </c>
      <c r="AO17" s="283">
        <v>7</v>
      </c>
      <c r="AP17" s="168">
        <v>7</v>
      </c>
      <c r="AQ17" s="168">
        <v>7</v>
      </c>
      <c r="AR17" s="168">
        <v>7</v>
      </c>
      <c r="AS17" s="381" t="s">
        <v>643</v>
      </c>
      <c r="AT17" s="216"/>
      <c r="AU17" s="215"/>
      <c r="AV17" s="216"/>
      <c r="AW17" s="215"/>
      <c r="AX17" s="216"/>
      <c r="AY17" s="136">
        <f t="shared" si="10"/>
        <v>1846</v>
      </c>
      <c r="AZ17" s="137">
        <f t="shared" si="10"/>
        <v>6373</v>
      </c>
      <c r="BA17" s="137">
        <f t="shared" si="10"/>
        <v>6224</v>
      </c>
      <c r="BB17" s="137">
        <f t="shared" si="10"/>
        <v>2013</v>
      </c>
      <c r="BC17" s="135">
        <f>IF(ISNUMBER(W17),W17," - ")</f>
        <v>912</v>
      </c>
      <c r="BD17" s="136">
        <f t="shared" ref="BD17:BD22" si="12">IF(ISNUMBER(BA17/AZ17),BA17/AZ17," - ")</f>
        <v>0.97662011611485955</v>
      </c>
      <c r="BE17" s="137">
        <f t="shared" ref="BE17:BE22" si="13">IF(ISNUMBER(BB17/BA17),BB17/BA17, " - ")</f>
        <v>0.32342544987146532</v>
      </c>
      <c r="BF17" s="137">
        <f t="shared" ref="BF17:BF22" si="14">IF(ISNUMBER(BC17/BA17),BC17/BA17, " - ")</f>
        <v>0.14652956298200515</v>
      </c>
      <c r="BG17" s="209">
        <f t="shared" si="11"/>
        <v>1.3205334190231361</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58</v>
      </c>
      <c r="J18" s="196">
        <v>791</v>
      </c>
      <c r="K18" s="196">
        <v>799</v>
      </c>
      <c r="L18" s="196">
        <v>70</v>
      </c>
      <c r="M18" s="196">
        <v>199</v>
      </c>
      <c r="N18" s="196">
        <v>434</v>
      </c>
      <c r="O18" s="196">
        <v>24</v>
      </c>
      <c r="P18" s="196">
        <v>35</v>
      </c>
      <c r="Q18" s="196">
        <v>44</v>
      </c>
      <c r="R18" s="196">
        <v>18</v>
      </c>
      <c r="S18" s="196">
        <v>87</v>
      </c>
      <c r="T18" s="196">
        <v>741</v>
      </c>
      <c r="U18" s="196">
        <v>790</v>
      </c>
      <c r="V18" s="196">
        <v>58</v>
      </c>
      <c r="W18" s="196">
        <v>206</v>
      </c>
      <c r="X18" s="202">
        <v>396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1049</v>
      </c>
      <c r="AT18" s="223"/>
      <c r="AU18" s="213"/>
      <c r="AV18" s="223"/>
      <c r="AW18" s="213"/>
      <c r="AX18" s="223"/>
      <c r="AY18" s="138">
        <f t="shared" ref="AY18:BB19" si="15">IF(ISNUMBER(S18),S18," - ")</f>
        <v>87</v>
      </c>
      <c r="AZ18" s="139">
        <f t="shared" si="15"/>
        <v>741</v>
      </c>
      <c r="BA18" s="139">
        <f t="shared" si="15"/>
        <v>790</v>
      </c>
      <c r="BB18" s="139">
        <f t="shared" si="15"/>
        <v>58</v>
      </c>
      <c r="BC18" s="135">
        <f>IF(ISNUMBER(W18),W18," - ")</f>
        <v>206</v>
      </c>
      <c r="BD18" s="136">
        <f>IF(ISNUMBER(BA18/AZ18),BA18/AZ18," - ")</f>
        <v>1.0661268556005399</v>
      </c>
      <c r="BE18" s="137">
        <f>IF(ISNUMBER(BB18/BA18),BB18/BA18, " - ")</f>
        <v>7.3417721518987344E-2</v>
      </c>
      <c r="BF18" s="137">
        <f>IF(ISNUMBER(BC18/BA18),BC18/BA18, " - ")</f>
        <v>0.26075949367088608</v>
      </c>
      <c r="BG18" s="209">
        <f>IF(ISNUMBER((AY18+AZ18)/BA18),(AY18+AZ18)/BA18," - ")</f>
        <v>1.0481012658227848</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105</v>
      </c>
      <c r="J21" s="196">
        <v>343</v>
      </c>
      <c r="K21" s="196">
        <v>409</v>
      </c>
      <c r="L21" s="196">
        <v>202</v>
      </c>
      <c r="M21" s="196">
        <v>380</v>
      </c>
      <c r="N21" s="196">
        <v>29</v>
      </c>
      <c r="O21" s="196">
        <v>634</v>
      </c>
      <c r="P21" s="196">
        <v>829</v>
      </c>
      <c r="Q21" s="196">
        <v>1477</v>
      </c>
      <c r="R21" s="196">
        <v>1164</v>
      </c>
      <c r="S21" s="196">
        <v>225</v>
      </c>
      <c r="T21" s="196">
        <v>304</v>
      </c>
      <c r="U21" s="196">
        <v>426</v>
      </c>
      <c r="V21" s="196">
        <v>105</v>
      </c>
      <c r="W21" s="196">
        <v>358</v>
      </c>
      <c r="X21" s="202">
        <v>71</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201</v>
      </c>
      <c r="AT21" s="345"/>
      <c r="AU21" s="215"/>
      <c r="AV21" s="216"/>
      <c r="AW21" s="215"/>
      <c r="AX21" s="216"/>
      <c r="AY21" s="138">
        <f t="shared" si="16"/>
        <v>225</v>
      </c>
      <c r="AZ21" s="139">
        <f t="shared" si="17"/>
        <v>304</v>
      </c>
      <c r="BA21" s="139">
        <f t="shared" si="18"/>
        <v>426</v>
      </c>
      <c r="BB21" s="139">
        <f t="shared" si="19"/>
        <v>105</v>
      </c>
      <c r="BC21" s="135">
        <f t="shared" si="20"/>
        <v>358</v>
      </c>
      <c r="BD21" s="136">
        <f t="shared" si="12"/>
        <v>1.4013157894736843</v>
      </c>
      <c r="BE21" s="137">
        <f t="shared" si="13"/>
        <v>0.24647887323943662</v>
      </c>
      <c r="BF21" s="137">
        <f t="shared" si="14"/>
        <v>0.84037558685446012</v>
      </c>
      <c r="BG21" s="209">
        <f t="shared" si="11"/>
        <v>1.2417840375586855</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2176</v>
      </c>
      <c r="J23" s="197">
        <f t="shared" si="21"/>
        <v>8161</v>
      </c>
      <c r="K23" s="197">
        <f t="shared" si="21"/>
        <v>7749</v>
      </c>
      <c r="L23" s="197">
        <f t="shared" si="21"/>
        <v>2216</v>
      </c>
      <c r="M23" s="197">
        <f t="shared" si="21"/>
        <v>1593</v>
      </c>
      <c r="N23" s="197">
        <f t="shared" si="21"/>
        <v>4845</v>
      </c>
      <c r="O23" s="197">
        <f t="shared" si="21"/>
        <v>761</v>
      </c>
      <c r="P23" s="197">
        <f t="shared" si="21"/>
        <v>1056</v>
      </c>
      <c r="Q23" s="197">
        <f t="shared" si="21"/>
        <v>1779</v>
      </c>
      <c r="R23" s="197">
        <f t="shared" si="21"/>
        <v>1612</v>
      </c>
      <c r="S23" s="197">
        <f t="shared" si="21"/>
        <v>2158</v>
      </c>
      <c r="T23" s="197">
        <f t="shared" si="21"/>
        <v>7418</v>
      </c>
      <c r="U23" s="197">
        <f t="shared" si="21"/>
        <v>7440</v>
      </c>
      <c r="V23" s="197">
        <f t="shared" si="21"/>
        <v>2176</v>
      </c>
      <c r="W23" s="197">
        <f t="shared" si="21"/>
        <v>1476</v>
      </c>
      <c r="X23" s="197">
        <f t="shared" si="21"/>
        <v>4816</v>
      </c>
      <c r="Y23" s="197">
        <f t="shared" si="21"/>
        <v>0</v>
      </c>
      <c r="Z23" s="197">
        <f t="shared" si="21"/>
        <v>0</v>
      </c>
      <c r="AA23" s="197">
        <f t="shared" si="21"/>
        <v>0</v>
      </c>
      <c r="AB23" s="197">
        <f t="shared" si="21"/>
        <v>0</v>
      </c>
      <c r="AC23" s="197">
        <f t="shared" si="21"/>
        <v>10</v>
      </c>
      <c r="AD23" s="197">
        <f t="shared" si="21"/>
        <v>128</v>
      </c>
      <c r="AE23" s="197">
        <f t="shared" si="21"/>
        <v>44</v>
      </c>
      <c r="AF23" s="197">
        <f t="shared" si="21"/>
        <v>94</v>
      </c>
      <c r="AG23" s="197">
        <f t="shared" si="21"/>
        <v>0</v>
      </c>
      <c r="AH23" s="197">
        <f t="shared" si="21"/>
        <v>0</v>
      </c>
      <c r="AI23" s="197">
        <f t="shared" si="21"/>
        <v>0</v>
      </c>
      <c r="AJ23" s="197">
        <f t="shared" si="21"/>
        <v>0</v>
      </c>
      <c r="AK23" s="197">
        <f t="shared" si="21"/>
        <v>8</v>
      </c>
      <c r="AL23" s="197">
        <f t="shared" si="21"/>
        <v>55</v>
      </c>
      <c r="AM23" s="197">
        <f t="shared" si="21"/>
        <v>53</v>
      </c>
      <c r="AN23" s="197">
        <f t="shared" si="21"/>
        <v>10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2158</v>
      </c>
      <c r="AZ23" s="197">
        <f>SUBTOTAL(9,AZ15:AZ22)</f>
        <v>7418</v>
      </c>
      <c r="BA23" s="197">
        <f>SUBTOTAL(9,BA15:BA22)</f>
        <v>7440</v>
      </c>
      <c r="BB23" s="197">
        <f>SUBTOTAL(9,BB15:BB22)</f>
        <v>2176</v>
      </c>
      <c r="BC23" s="197">
        <f>SUBTOTAL(9,BC15:BC22)</f>
        <v>1476</v>
      </c>
      <c r="BD23" s="219">
        <f>IF(ISNUMBER(BA23/AZ23),BA23/AZ23," - ")</f>
        <v>1.0029657589646805</v>
      </c>
      <c r="BE23" s="220">
        <f>IF(ISNUMBER(BB23/BA23),BB23/BA23, " - ")</f>
        <v>0.2924731182795699</v>
      </c>
      <c r="BF23" s="220">
        <f>IF(ISNUMBER(BC23/BA23),BC23/BA23, " - ")</f>
        <v>0.19838709677419356</v>
      </c>
      <c r="BG23" s="221">
        <f>IF(ISNUMBER((AY23+AZ23)/BA23),(AY23+AZ23)/BA23," - ")</f>
        <v>1.2870967741935484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243</v>
      </c>
      <c r="J28" s="196">
        <v>1594</v>
      </c>
      <c r="K28" s="196">
        <v>1444</v>
      </c>
      <c r="L28" s="196">
        <v>330</v>
      </c>
      <c r="M28" s="196">
        <v>506</v>
      </c>
      <c r="N28" s="196">
        <v>198</v>
      </c>
      <c r="O28" s="196">
        <v>1048</v>
      </c>
      <c r="P28" s="196">
        <v>337</v>
      </c>
      <c r="Q28" s="196">
        <v>364</v>
      </c>
      <c r="R28" s="196">
        <v>155</v>
      </c>
      <c r="S28" s="196">
        <v>266</v>
      </c>
      <c r="T28" s="196">
        <v>1290</v>
      </c>
      <c r="U28" s="196">
        <v>1307</v>
      </c>
      <c r="V28" s="196">
        <v>243</v>
      </c>
      <c r="W28" s="196">
        <v>529</v>
      </c>
      <c r="X28" s="202">
        <v>156</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2</v>
      </c>
      <c r="AP28" s="168">
        <v>2</v>
      </c>
      <c r="AQ28" s="168">
        <v>2</v>
      </c>
      <c r="AR28" s="168">
        <v>2</v>
      </c>
      <c r="AS28" s="381" t="s">
        <v>200</v>
      </c>
      <c r="AT28" s="216"/>
      <c r="AU28" s="215"/>
      <c r="AV28" s="216"/>
      <c r="AW28" s="215"/>
      <c r="AX28" s="216"/>
      <c r="AY28" s="138">
        <f t="shared" ref="AY28:BC29" si="30">IF(ISNUMBER(S28),S28," - ")</f>
        <v>266</v>
      </c>
      <c r="AZ28" s="139">
        <f t="shared" si="30"/>
        <v>1290</v>
      </c>
      <c r="BA28" s="139">
        <f t="shared" si="30"/>
        <v>1307</v>
      </c>
      <c r="BB28" s="139">
        <f t="shared" si="30"/>
        <v>243</v>
      </c>
      <c r="BC28" s="135">
        <f t="shared" si="30"/>
        <v>529</v>
      </c>
      <c r="BD28" s="136">
        <f t="shared" ref="BD28:BD30" si="31">IF(ISNUMBER(BA28/AZ28),BA28/AZ28," - ")</f>
        <v>1.0131782945736434</v>
      </c>
      <c r="BE28" s="137">
        <f t="shared" ref="BE28:BE30" si="32">IF(ISNUMBER(BB28/BA28),BB28/BA28, " - ")</f>
        <v>0.18592195868400918</v>
      </c>
      <c r="BF28" s="137">
        <f t="shared" ref="BF28:BF30" si="33">IF(ISNUMBER(BC28/BA28),BC28/BA28, " - ")</f>
        <v>0.40474368783473602</v>
      </c>
      <c r="BG28" s="209">
        <f t="shared" ref="BG28:BG30" si="34">IF(ISNUMBER((AY28+AZ28)/BA28),(AY28+AZ28)/BA28," - ")</f>
        <v>1.190512624330528</v>
      </c>
      <c r="BH28" s="168">
        <v>2</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243</v>
      </c>
      <c r="J30" s="197">
        <f t="shared" si="35"/>
        <v>1594</v>
      </c>
      <c r="K30" s="197">
        <f t="shared" si="35"/>
        <v>1444</v>
      </c>
      <c r="L30" s="197">
        <f t="shared" si="35"/>
        <v>330</v>
      </c>
      <c r="M30" s="197">
        <f t="shared" si="35"/>
        <v>506</v>
      </c>
      <c r="N30" s="197">
        <f t="shared" si="35"/>
        <v>198</v>
      </c>
      <c r="O30" s="197">
        <f t="shared" si="35"/>
        <v>1048</v>
      </c>
      <c r="P30" s="197">
        <f t="shared" si="35"/>
        <v>337</v>
      </c>
      <c r="Q30" s="197">
        <f t="shared" si="35"/>
        <v>364</v>
      </c>
      <c r="R30" s="197">
        <f t="shared" si="35"/>
        <v>155</v>
      </c>
      <c r="S30" s="197">
        <f t="shared" si="35"/>
        <v>266</v>
      </c>
      <c r="T30" s="197">
        <f t="shared" si="35"/>
        <v>1290</v>
      </c>
      <c r="U30" s="197">
        <f t="shared" si="35"/>
        <v>1307</v>
      </c>
      <c r="V30" s="197">
        <f t="shared" si="35"/>
        <v>243</v>
      </c>
      <c r="W30" s="197">
        <f t="shared" si="35"/>
        <v>529</v>
      </c>
      <c r="X30" s="141">
        <f t="shared" si="35"/>
        <v>156</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2</v>
      </c>
      <c r="AP30" s="153">
        <f>SUBTOTAL(9,AP28:AP29)-AP29</f>
        <v>2</v>
      </c>
      <c r="AQ30" s="153">
        <f>SUBTOTAL(9,AQ28:AQ29)</f>
        <v>2</v>
      </c>
      <c r="AR30" s="153">
        <f>SUBTOTAL(9,AR28:AR29)-AR29</f>
        <v>2</v>
      </c>
      <c r="AS30" s="382">
        <f>SUBTOTAL(9,AS25:AS25)</f>
        <v>0</v>
      </c>
      <c r="AT30" s="142"/>
      <c r="AU30" s="217"/>
      <c r="AV30" s="142"/>
      <c r="AW30" s="217"/>
      <c r="AX30" s="142"/>
      <c r="AY30" s="140">
        <f>SUBTOTAL(9,AY28:AY29)</f>
        <v>266</v>
      </c>
      <c r="AZ30" s="141">
        <f>SUBTOTAL(9,AZ28:AZ29)</f>
        <v>1290</v>
      </c>
      <c r="BA30" s="141">
        <f>SUBTOTAL(9,BA28:BA29)</f>
        <v>1307</v>
      </c>
      <c r="BB30" s="141">
        <f>SUBTOTAL(9,BB28:BB29)</f>
        <v>243</v>
      </c>
      <c r="BC30" s="142">
        <f>SUBTOTAL(9,BC28:BC29)</f>
        <v>529</v>
      </c>
      <c r="BD30" s="140">
        <f t="shared" si="31"/>
        <v>1.0131782945736434</v>
      </c>
      <c r="BE30" s="141">
        <f t="shared" si="32"/>
        <v>0.18592195868400918</v>
      </c>
      <c r="BF30" s="141">
        <f t="shared" si="33"/>
        <v>0.40474368783473602</v>
      </c>
      <c r="BG30" s="142">
        <f t="shared" si="34"/>
        <v>1.190512624330528</v>
      </c>
      <c r="BH30" s="153">
        <f>SUBTOTAL(9,BH28:BH29)-BH29</f>
        <v>2</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8299</v>
      </c>
      <c r="J31" s="144">
        <f t="shared" si="36"/>
        <v>18667</v>
      </c>
      <c r="K31" s="144">
        <f t="shared" si="36"/>
        <v>17564</v>
      </c>
      <c r="L31" s="144">
        <f t="shared" si="36"/>
        <v>8786</v>
      </c>
      <c r="M31" s="144">
        <f t="shared" si="36"/>
        <v>4003</v>
      </c>
      <c r="N31" s="144">
        <f t="shared" si="36"/>
        <v>9562</v>
      </c>
      <c r="O31" s="144">
        <f t="shared" si="36"/>
        <v>3916</v>
      </c>
      <c r="P31" s="144">
        <f t="shared" si="36"/>
        <v>2535</v>
      </c>
      <c r="Q31" s="144">
        <f t="shared" si="36"/>
        <v>3145</v>
      </c>
      <c r="R31" s="144">
        <f t="shared" si="36"/>
        <v>8005</v>
      </c>
      <c r="S31" s="144">
        <f t="shared" si="36"/>
        <v>7917</v>
      </c>
      <c r="T31" s="144">
        <f t="shared" si="36"/>
        <v>15532</v>
      </c>
      <c r="U31" s="144">
        <f t="shared" si="36"/>
        <v>15088</v>
      </c>
      <c r="V31" s="144">
        <f t="shared" si="36"/>
        <v>8299</v>
      </c>
      <c r="W31" s="144">
        <f t="shared" si="36"/>
        <v>3447</v>
      </c>
      <c r="X31" s="144">
        <f t="shared" si="36"/>
        <v>7547</v>
      </c>
      <c r="Y31" s="144">
        <f t="shared" si="36"/>
        <v>99</v>
      </c>
      <c r="Z31" s="144">
        <f t="shared" si="36"/>
        <v>441</v>
      </c>
      <c r="AA31" s="144">
        <f t="shared" si="36"/>
        <v>418</v>
      </c>
      <c r="AB31" s="144">
        <f t="shared" si="36"/>
        <v>116</v>
      </c>
      <c r="AC31" s="144">
        <f t="shared" si="36"/>
        <v>10</v>
      </c>
      <c r="AD31" s="144">
        <f t="shared" si="36"/>
        <v>128</v>
      </c>
      <c r="AE31" s="144">
        <f t="shared" si="36"/>
        <v>44</v>
      </c>
      <c r="AF31" s="144">
        <f t="shared" si="36"/>
        <v>94</v>
      </c>
      <c r="AG31" s="144">
        <f t="shared" si="36"/>
        <v>146</v>
      </c>
      <c r="AH31" s="144">
        <f t="shared" si="36"/>
        <v>398</v>
      </c>
      <c r="AI31" s="144">
        <f t="shared" si="36"/>
        <v>445</v>
      </c>
      <c r="AJ31" s="144">
        <f t="shared" si="36"/>
        <v>99</v>
      </c>
      <c r="AK31" s="144">
        <f t="shared" si="36"/>
        <v>8</v>
      </c>
      <c r="AL31" s="144">
        <f t="shared" si="36"/>
        <v>55</v>
      </c>
      <c r="AM31" s="144">
        <f t="shared" si="36"/>
        <v>53</v>
      </c>
      <c r="AN31" s="224">
        <f t="shared" si="36"/>
        <v>10</v>
      </c>
      <c r="AO31" s="225">
        <v>11</v>
      </c>
      <c r="AP31" s="225">
        <v>10</v>
      </c>
      <c r="AQ31" s="225">
        <v>10</v>
      </c>
      <c r="AR31" s="225">
        <v>10</v>
      </c>
      <c r="AS31" s="166">
        <f t="shared" si="36"/>
        <v>0</v>
      </c>
      <c r="AT31" s="166">
        <f t="shared" si="36"/>
        <v>0</v>
      </c>
      <c r="AU31" s="225"/>
      <c r="AV31" s="226"/>
      <c r="AW31" s="225"/>
      <c r="AX31" s="226"/>
      <c r="AY31" s="143">
        <f>SUBTOTAL(9,AY9:AY30)</f>
        <v>8063</v>
      </c>
      <c r="AZ31" s="144">
        <f>SUBTOTAL(9,AZ9:AZ30)</f>
        <v>15930</v>
      </c>
      <c r="BA31" s="144">
        <f>SUBTOTAL(9,BA9:BA30)</f>
        <v>15533</v>
      </c>
      <c r="BB31" s="144">
        <f>SUBTOTAL(9,BB9:BB30)</f>
        <v>8398</v>
      </c>
      <c r="BC31" s="145">
        <f>SUBTOTAL(9,BC9:BC30)</f>
        <v>4590</v>
      </c>
      <c r="BD31" s="227">
        <f>IF(ISNUMBER(BA31/AZ31),BA31/AZ31," - ")</f>
        <v>0.97507846829880729</v>
      </c>
      <c r="BE31" s="224">
        <f>IF(ISNUMBER(BB31/BA31),BB31/BA31, " - ")</f>
        <v>0.54065537887079118</v>
      </c>
      <c r="BF31" s="224">
        <f>IF(ISNUMBER(BC31/BA31),BC31/BA31, " - ")</f>
        <v>0.29549990343140409</v>
      </c>
      <c r="BG31" s="145">
        <f>IF(ISNUMBER((AY31+AZ31)/BA31),(AY31+AZ31)/BA31," - ")</f>
        <v>1.5446468808343528</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oulmi15JhDitQjzw+mLw9ZxrRF3o0Y0d7x77MZzR9h2OhvTJtjn6mPhzKBFWsLAFQrTIlhyZNZsdFUA2cW2zlw==" saltValue="QayWyJYGTcRoUOffbpnN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jT4xfVuqa0zU63UOsYSeR3AJiF4AukcuKYGDL29q4HTtwVNavLvvdLqRozvMHhTbemJcj5yoKIiMQbHn8kPPg==" saltValue="P+PD/jCaPtLFnmpGEH/C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PUERTO DEL ROSARIO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315</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59</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124</v>
      </c>
      <c r="AC10" s="547">
        <f>IF(ISNUMBER(Datos!Q10),Datos!Q10," - ")</f>
        <v>4</v>
      </c>
      <c r="AD10" s="549"/>
      <c r="AE10" s="563"/>
      <c r="AF10" s="551">
        <f>IF(ISNUMBER(Datos!L10),Datos!L10,"-")</f>
        <v>46</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45</v>
      </c>
      <c r="BD10" s="693">
        <f>IF(ISNUMBER(Datos!N10),Datos!N10," - ")</f>
        <v>61</v>
      </c>
      <c r="BE10" s="693" t="str">
        <f>IF(ISNUMBER(Datos!BW10),Datos!BW10," - ")</f>
        <v xml:space="preserve"> - </v>
      </c>
      <c r="BF10" s="762" t="str">
        <f>IF(ISNUMBER(Datos!BX10),Datos!BX10," - ")</f>
        <v xml:space="preserve"> - </v>
      </c>
      <c r="BG10" s="763">
        <f>IF(ISNUMBER(Datos!K10/Datos!J10),Datos!K10/Datos!J10," - ")</f>
        <v>1.117117117117117</v>
      </c>
      <c r="BH10" s="764">
        <f>IF(ISNUMBER(((Datos!L10/Datos!K10)*11)/factor_trimestre),((Datos!L10/Datos!K10)*11)/factor_trimestre," - ")</f>
        <v>4.080645161290323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0.38461538461538464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315</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441</v>
      </c>
      <c r="O12" s="549"/>
      <c r="P12" s="549"/>
      <c r="Q12" s="547">
        <f>IF(ISNUMBER(Datos!P12),Datos!P12,0)</f>
        <v>1133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6220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1859</v>
      </c>
      <c r="BD12" s="693">
        <f>IF(ISNUMBER(Datos!N12),Datos!N12," - ")</f>
        <v>4458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0.93756762605496646</v>
      </c>
      <c r="BH12" s="764">
        <f>IF(ISNUMBER(((IF(J_V="SI",Datos!L12/Datos!K12,(Datos!L12+Datos!AB12)/(Datos!K12+Datos!AA12)))*11)/factor_trimestre),((IF(J_V="SI",Datos!L12/Datos!K12,(Datos!L12+Datos!AB12)/(Datos!K12+Datos!AA12)))*11)/factor_trimestre," - ")</f>
        <v>8.0103866128101551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2.2185702547247329E-2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59</v>
      </c>
      <c r="G14" s="1197">
        <f t="shared" si="1"/>
        <v>58</v>
      </c>
      <c r="H14" s="1198">
        <f t="shared" si="1"/>
        <v>0</v>
      </c>
      <c r="I14" s="1197">
        <f t="shared" si="1"/>
        <v>0</v>
      </c>
      <c r="J14" s="1164">
        <f t="shared" si="1"/>
        <v>0</v>
      </c>
      <c r="K14" s="1164">
        <f t="shared" si="1"/>
        <v>0</v>
      </c>
      <c r="L14" s="1198">
        <f t="shared" si="1"/>
        <v>0</v>
      </c>
      <c r="M14" s="1198">
        <f t="shared" si="1"/>
        <v>0</v>
      </c>
      <c r="N14" s="1198">
        <f t="shared" si="1"/>
        <v>441</v>
      </c>
      <c r="O14" s="1199">
        <f t="shared" si="1"/>
        <v>0</v>
      </c>
      <c r="P14" s="1199">
        <f t="shared" si="1"/>
        <v>0</v>
      </c>
      <c r="Q14" s="1198">
        <f t="shared" si="1"/>
        <v>1142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124</v>
      </c>
      <c r="AC14" s="1198">
        <f t="shared" si="2"/>
        <v>1002</v>
      </c>
      <c r="AD14" s="1198">
        <f t="shared" si="2"/>
        <v>0</v>
      </c>
      <c r="AE14" s="1198">
        <f t="shared" si="2"/>
        <v>0</v>
      </c>
      <c r="AF14" s="1198">
        <f t="shared" si="2"/>
        <v>46</v>
      </c>
      <c r="AG14" s="1198">
        <f t="shared" si="2"/>
        <v>0</v>
      </c>
      <c r="AH14" s="1198">
        <f t="shared" si="2"/>
        <v>116</v>
      </c>
      <c r="AI14" s="1198">
        <f t="shared" si="2"/>
        <v>0</v>
      </c>
      <c r="AJ14" s="1198">
        <f t="shared" si="2"/>
        <v>0</v>
      </c>
      <c r="AK14" s="1198">
        <f t="shared" si="2"/>
        <v>0</v>
      </c>
      <c r="AL14" s="1198">
        <f t="shared" si="2"/>
        <v>0</v>
      </c>
      <c r="AM14" s="1198">
        <f t="shared" si="2"/>
        <v>6238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1904</v>
      </c>
      <c r="BD14" s="1198">
        <f t="shared" si="2"/>
        <v>4519</v>
      </c>
      <c r="BE14" s="1198">
        <f t="shared" si="2"/>
        <v>0</v>
      </c>
      <c r="BF14" s="1198">
        <f t="shared" si="2"/>
        <v>0</v>
      </c>
      <c r="BG14" s="1198">
        <f>IF(ISNUMBER(Datos!K14/Datos!J14),Datos!K14/Datos!J14," - ")</f>
        <v>0.93929533213644523</v>
      </c>
      <c r="BH14" s="1202">
        <f>IF(ISNUMBER(((Datos!L14/Datos!K14)*11)/factor_trimestre),((Datos!L14/Datos!K14)*11)/factor_trimestre," - ")</f>
        <v>8.1997371879106424</v>
      </c>
      <c r="BI14" s="1198">
        <f>IF(ISNUMBER('Resol  Asuntos'!D14/NºAsuntos!G14),'Resol  Asuntos'!D14/NºAsuntos!G14," - ")</f>
        <v>0.21663442940038685</v>
      </c>
      <c r="BJ14" s="1198" t="str">
        <f>IF(ISNUMBER(Datos!CI14/Datos!CJ14),Datos!CI14/Datos!CJ14," - ")</f>
        <v xml:space="preserve"> - </v>
      </c>
      <c r="BK14" s="1198">
        <f>SUBTOTAL(9,BK8:BK13)</f>
        <v>0</v>
      </c>
      <c r="BL14" s="1198">
        <f>IF(ISNUMBER((I14-AB14+L14)/(F14)),(I14-AB14+L14)/(F14)," - ")</f>
        <v>-2.1016949152542375</v>
      </c>
      <c r="BM14" s="1203">
        <f>SUBTOTAL(9,BM9:BM13)</f>
        <v>0.40680108716263197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504</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504</v>
      </c>
      <c r="C17" s="749" t="str">
        <f>Datos!A17</f>
        <v xml:space="preserve">Jdos. 1ª Instª. e Instr.                        </v>
      </c>
      <c r="D17" s="750"/>
      <c r="E17" s="1555">
        <f>IF(ISNUMBER(Datos!AQ17),Datos!AQ17," - ")</f>
        <v>7</v>
      </c>
      <c r="F17" s="740">
        <f>IF(ISNUMBER(AF17+AB17-Datos!J17-L17),AF17+AB17-Datos!J17-L17," - ")</f>
        <v>1458</v>
      </c>
      <c r="G17" s="743">
        <f>IF(ISNUMBER(IF(D_I="SI",Datos!I17,Datos!I17+Datos!AC17)),IF(D_I="SI",Datos!I17,Datos!I17+Datos!AC17)," - ")</f>
        <v>2013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6541</v>
      </c>
      <c r="AC17" s="240">
        <f>IF(ISNUMBER(Datos!Q17),Datos!Q17," - ")</f>
        <v>258</v>
      </c>
      <c r="AD17" s="374"/>
      <c r="AE17" s="562"/>
      <c r="AF17" s="741">
        <f>IF(ISNUMBER(IF(D_I="SI",Datos!L17,Datos!L17+Datos!AF17)),IF(D_I="SI",Datos!L17,Datos!L17+Datos!AF17)," - ")</f>
        <v>1944</v>
      </c>
      <c r="AG17" s="374"/>
      <c r="AH17" s="374"/>
      <c r="AI17" s="374"/>
      <c r="AJ17" s="549"/>
      <c r="AK17" s="374"/>
      <c r="AL17" s="545"/>
      <c r="AM17" s="375">
        <f>IF(ISNUMBER(Datos!R17),Datos!R17," - ")</f>
        <v>430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1014</v>
      </c>
      <c r="BD17" s="243">
        <f>IF(ISNUMBER(Datos!N17),Datos!N17," - ")</f>
        <v>4382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0.93083819553152125</v>
      </c>
      <c r="BH17" s="764">
        <f>IF(ISNUMBER(((IF(D_I="SI",Datos!L17/Datos!K17,(Datos!L17+Datos!AF17)/(Datos!K17+Datos!AE17)))*11)/factor_trimestre),((IF(D_I="SI",Datos!L17/Datos!K17,(Datos!L17+Datos!AF17)/(Datos!K17+Datos!AE17)))*11)/factor_trimestre," - ")</f>
        <v>3.2692248891606783</v>
      </c>
      <c r="BI17" s="266">
        <f>IF(ISNUMBER('Resol  Asuntos'!D17/NºAsuntos!G17),'Resol  Asuntos'!D17/NºAsuntos!G17," - ")</f>
        <v>0.15502216786424095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799</v>
      </c>
      <c r="AC18" s="547">
        <f>IF(ISNUMBER(Datos!Q18),Datos!Q18," - ")</f>
        <v>44</v>
      </c>
      <c r="AD18" s="549"/>
      <c r="AE18" s="562"/>
      <c r="AF18" s="551">
        <f>IF(ISNUMBER(Datos!L18),Datos!L18,"-")</f>
        <v>70</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199</v>
      </c>
      <c r="BD18" s="693">
        <f>IF(ISNUMBER(Datos!N18),Datos!N18," - ")</f>
        <v>434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1.0101137800252844</v>
      </c>
      <c r="BH18" s="764">
        <f>IF(ISNUMBER(((IF(D_I="SI",Datos!L18/Datos!K18,(Datos!L18+Datos!AF18)/(Datos!K18+Datos!AE18)))*11)/factor_trimestre),((IF(D_I="SI",Datos!L18/Datos!K18,(Datos!L18+Datos!AF18)/(Datos!K18+Datos!AE18)))*11)/factor_trimestre," - ")</f>
        <v>0.96370463078848556</v>
      </c>
      <c r="BI18" s="763">
        <f>IF(ISNUMBER('Resol  Asuntos'!D18/NºAsuntos!G18),'Resol  Asuntos'!D18/NºAsuntos!G18," - ")</f>
        <v>0.2490613266583229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504</v>
      </c>
      <c r="C21" s="747" t="str">
        <f>Datos!A21</f>
        <v xml:space="preserve">Jdos. de lo Penal                               </v>
      </c>
      <c r="D21" s="601"/>
      <c r="E21" s="1380">
        <f>IF(ISNUMBER(Datos!AQ21),Datos!AQ21," - ")</f>
        <v>1</v>
      </c>
      <c r="F21" s="552">
        <f>IF(ISNUMBER(Datos!L21+Datos!K21-Datos!J21),Datos!L21+Datos!K21-Datos!J21," - ")</f>
        <v>268</v>
      </c>
      <c r="G21" s="543">
        <f>IF(ISNUMBER(Datos!I21),Datos!I21," - ")</f>
        <v>105</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829</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409</v>
      </c>
      <c r="AC21" s="547">
        <f>IF(ISNUMBER(Datos!Q21),Datos!Q21," - ")</f>
        <v>1477</v>
      </c>
      <c r="AD21" s="549"/>
      <c r="AE21" s="563"/>
      <c r="AF21" s="551">
        <f>IF(ISNUMBER(Datos!L21),Datos!L21,"-")</f>
        <v>202</v>
      </c>
      <c r="AG21" s="549"/>
      <c r="AH21" s="549"/>
      <c r="AI21" s="549"/>
      <c r="AJ21" s="549"/>
      <c r="AK21" s="549"/>
      <c r="AL21" s="550"/>
      <c r="AM21" s="766">
        <f>IF(ISNUMBER(Datos!R21),Datos!R21," - ")</f>
        <v>1164</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380</v>
      </c>
      <c r="BD21" s="693"/>
      <c r="BE21" s="693" t="str">
        <f>IF(ISNUMBER(Datos!BW21),Datos!BW21," - ")</f>
        <v xml:space="preserve"> - </v>
      </c>
      <c r="BF21" s="762" t="str">
        <f>IF(ISNUMBER(Datos!BX21),Datos!BX21," - ")</f>
        <v xml:space="preserve"> - </v>
      </c>
      <c r="BG21" s="763">
        <f>IF(ISNUMBER(Datos!K21/Datos!J21),Datos!K21/Datos!J21," - ")</f>
        <v>1.1924198250728864</v>
      </c>
      <c r="BH21" s="764">
        <f>IF(ISNUMBER(((Datos!L21/Datos!K21)*11)/factor_trimestre),((Datos!L21/Datos!K21)*11)/factor_trimestre," - ")</f>
        <v>5.4327628361858187</v>
      </c>
      <c r="BI21" s="763">
        <f>IF(ISNUMBER('Resol  Asuntos'!D21/NºAsuntos!G21),'Resol  Asuntos'!D21/NºAsuntos!G21," - ")</f>
        <v>0.92909535452322733</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1726</v>
      </c>
      <c r="G23" s="1197">
        <f>SUBTOTAL(9,G16:G22)</f>
        <v>2176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7749</v>
      </c>
      <c r="AC23" s="1198">
        <f t="shared" si="5"/>
        <v>1779</v>
      </c>
      <c r="AD23" s="1198">
        <f t="shared" si="5"/>
        <v>0</v>
      </c>
      <c r="AE23" s="1198">
        <f t="shared" si="5"/>
        <v>0</v>
      </c>
      <c r="AF23" s="1198">
        <f t="shared" si="5"/>
        <v>2216</v>
      </c>
      <c r="AG23" s="1198">
        <f t="shared" si="5"/>
        <v>0</v>
      </c>
      <c r="AH23" s="1198">
        <f t="shared" si="5"/>
        <v>0</v>
      </c>
      <c r="AI23" s="1198">
        <f t="shared" si="5"/>
        <v>0</v>
      </c>
      <c r="AJ23" s="1198">
        <f t="shared" si="5"/>
        <v>0</v>
      </c>
      <c r="AK23" s="1198">
        <f t="shared" si="5"/>
        <v>0</v>
      </c>
      <c r="AL23" s="1198">
        <f t="shared" si="5"/>
        <v>0</v>
      </c>
      <c r="AM23" s="1198">
        <f t="shared" si="5"/>
        <v>1612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1593</v>
      </c>
      <c r="BD23" s="1198">
        <f t="shared" si="5"/>
        <v>4816</v>
      </c>
      <c r="BE23" s="1198">
        <f t="shared" si="5"/>
        <v>0</v>
      </c>
      <c r="BF23" s="1198">
        <f t="shared" si="5"/>
        <v>0</v>
      </c>
      <c r="BG23" s="1198">
        <f>IF(ISNUMBER(Datos!K23/Datos!J23),Datos!K23/Datos!J23," - ")</f>
        <v>0.94951599068741577</v>
      </c>
      <c r="BH23" s="1202">
        <f>IF(ISNUMBER(((Datos!L23/Datos!K23)*11)/factor_trimestre),((Datos!L23/Datos!K23)*11)/factor_trimestre," - ")</f>
        <v>3.1456962188669504</v>
      </c>
      <c r="BI23" s="1198">
        <f>SUBTOTAL(9,BI16:BI22)</f>
        <v>1.3331788490457912</v>
      </c>
      <c r="BJ23" s="1198">
        <f>SUBTOTAL(9,BJ16:BJ22)</f>
        <v>0</v>
      </c>
      <c r="BK23" s="1198">
        <f>SUBTOTAL(9,BK16:BK22)</f>
        <v>0</v>
      </c>
      <c r="BL23" s="1198">
        <f>IF(ISNUMBER((I23-AB23+L23)/(F23)),(I23-AB23+L23)/(F23)," - ")</f>
        <v>-4.4895712630359208</v>
      </c>
      <c r="BM23" s="1205">
        <f>IF(ISNUMBER((Datos!P23-Datos!Q23)/(Datos!R23-Datos!P23+Datos!Q23)),(Datos!P23-Datos!Q23)/(Datos!R23-Datos!P23+Datos!Q23)," - ")</f>
        <v>-0.30963597430406853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2</v>
      </c>
      <c r="B28" s="600" t="s">
        <v>506</v>
      </c>
      <c r="C28" s="7" t="str">
        <f>Datos!A28</f>
        <v xml:space="preserve">Jdos. de lo Social                              </v>
      </c>
      <c r="D28" s="549"/>
      <c r="E28" s="1380">
        <f>IF(ISNUMBER(Datos!AQ28),Datos!AQ28," - ")</f>
        <v>2</v>
      </c>
      <c r="F28" s="552">
        <f>IF(ISNUMBER(Datos!L28+Datos!K28-Datos!J28),Datos!L28+Datos!K28-Datos!J28," - ")</f>
        <v>180</v>
      </c>
      <c r="G28" s="543">
        <f>IF(ISNUMBER(Datos!I28),Datos!I28," - ")</f>
        <v>243</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337</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1444</v>
      </c>
      <c r="AC28" s="240">
        <f>IF(ISNUMBER(Datos!Q28),Datos!Q28," - ")</f>
        <v>364</v>
      </c>
      <c r="AD28" s="374"/>
      <c r="AE28" s="562"/>
      <c r="AF28" s="372">
        <f>IF(ISNUMBER(Datos!L28),Datos!L28,"-")</f>
        <v>330</v>
      </c>
      <c r="AG28" s="549"/>
      <c r="AH28" s="374"/>
      <c r="AI28" s="374"/>
      <c r="AJ28" s="549"/>
      <c r="AK28" s="549"/>
      <c r="AL28" s="550"/>
      <c r="AM28" s="375">
        <f>IF(ISNUMBER(Datos!R28),Datos!R28," - ")</f>
        <v>155</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506</v>
      </c>
      <c r="BD28" s="239">
        <f>IF(ISNUMBER(Datos!N28),Datos!N28," - ")</f>
        <v>198</v>
      </c>
      <c r="BE28" s="245" t="str">
        <f>IF(ISNUMBER(Datos!BW28),Datos!BW28," - ")</f>
        <v xml:space="preserve"> - </v>
      </c>
      <c r="BF28" s="246" t="str">
        <f>IF(ISNUMBER(Datos!BX28),Datos!BX28," - ")</f>
        <v xml:space="preserve"> - </v>
      </c>
      <c r="BG28" s="763">
        <f>IF(ISNUMBER(Datos!K28/Datos!J28),Datos!K28/Datos!J28," - ")</f>
        <v>0.90589711417816809</v>
      </c>
      <c r="BH28" s="764">
        <f>IF(ISNUMBER(((Datos!L28/Datos!K28)*11)/factor_trimestre),((Datos!L28/Datos!K28)*11)/factor_trimestre," - ")</f>
        <v>2.5138504155124655</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2</v>
      </c>
      <c r="F30" s="1197">
        <f t="shared" ref="F30:K30" si="13">SUBTOTAL(9,F28:F29)</f>
        <v>180</v>
      </c>
      <c r="G30" s="1197">
        <f t="shared" si="13"/>
        <v>243</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337</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1444</v>
      </c>
      <c r="AC30" s="1198">
        <f t="shared" si="15"/>
        <v>364</v>
      </c>
      <c r="AD30" s="1198">
        <f t="shared" si="15"/>
        <v>0</v>
      </c>
      <c r="AE30" s="1198">
        <f t="shared" si="15"/>
        <v>0</v>
      </c>
      <c r="AF30" s="1199">
        <f t="shared" si="15"/>
        <v>330</v>
      </c>
      <c r="AG30" s="1199">
        <f t="shared" si="15"/>
        <v>0</v>
      </c>
      <c r="AH30" s="1199">
        <f t="shared" si="15"/>
        <v>0</v>
      </c>
      <c r="AI30" s="1199">
        <f t="shared" si="15"/>
        <v>0</v>
      </c>
      <c r="AJ30" s="1198">
        <f t="shared" si="15"/>
        <v>0</v>
      </c>
      <c r="AK30" s="1199">
        <f t="shared" si="15"/>
        <v>0</v>
      </c>
      <c r="AL30" s="1199"/>
      <c r="AM30" s="1199">
        <f t="shared" ref="AM30:AV30" si="16">SUBTOTAL(9,AM28:AM29)</f>
        <v>155</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506</v>
      </c>
      <c r="BD30" s="1211"/>
      <c r="BE30" s="1198">
        <f>SUBTOTAL(9,BE28:BE29)</f>
        <v>0</v>
      </c>
      <c r="BF30" s="1207">
        <f>SUBTOTAL(9,BF28:BF29)</f>
        <v>0</v>
      </c>
      <c r="BG30" s="1198">
        <f>IF(ISNUMBER(Datos!K30/Datos!J30),Datos!K30/Datos!J30," - ")</f>
        <v>0.90589711417816809</v>
      </c>
      <c r="BH30" s="1202">
        <f>IF(ISNUMBER(((Datos!L30/Datos!K30)*11)/factor_trimestre),((Datos!L30/Datos!K30)*11)/factor_trimestre," - ")</f>
        <v>2.5138504155124655</v>
      </c>
      <c r="BI30" s="1203"/>
      <c r="BJ30" s="1203">
        <f>IF(ISNUMBER(BL30/BM30),BL30/BM30," - ")</f>
        <v>54.075720164609052</v>
      </c>
      <c r="BK30" s="1196">
        <f>SUBTOTAL(9,BK28:BK29)</f>
        <v>0</v>
      </c>
      <c r="BL30" s="1198">
        <f t="shared" si="12"/>
        <v>-8.0222222222222221</v>
      </c>
      <c r="BM30" s="1205">
        <f>IF(ISNUMBER((Datos!P30-Datos!Q30)/(Datos!R30-Datos!P30+Datos!Q30)),(Datos!P30-Datos!Q30)/(Datos!R30-Datos!P30+Datos!Q30)," - ")</f>
        <v>-0.14835164835164835</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17</v>
      </c>
      <c r="F31" s="1117">
        <f t="shared" si="18"/>
        <v>1965</v>
      </c>
      <c r="G31" s="1117">
        <f t="shared" si="18"/>
        <v>2477</v>
      </c>
      <c r="H31" s="1119">
        <f t="shared" si="18"/>
        <v>0</v>
      </c>
      <c r="I31" s="1117">
        <f t="shared" si="18"/>
        <v>0</v>
      </c>
      <c r="J31" s="1119">
        <f t="shared" si="18"/>
        <v>0</v>
      </c>
      <c r="K31" s="1119">
        <f t="shared" si="18"/>
        <v>0</v>
      </c>
      <c r="L31" s="1180">
        <f t="shared" si="18"/>
        <v>0</v>
      </c>
      <c r="M31" s="1180">
        <f t="shared" si="18"/>
        <v>0</v>
      </c>
      <c r="N31" s="1180">
        <f t="shared" si="18"/>
        <v>441</v>
      </c>
      <c r="O31" s="1180">
        <f t="shared" si="18"/>
        <v>0</v>
      </c>
      <c r="P31" s="1180">
        <f t="shared" si="18"/>
        <v>0</v>
      </c>
      <c r="Q31" s="1119">
        <f t="shared" si="18"/>
        <v>2535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9317</v>
      </c>
      <c r="AC31" s="1118">
        <f t="shared" si="19"/>
        <v>3145</v>
      </c>
      <c r="AD31" s="1118">
        <f t="shared" si="19"/>
        <v>0</v>
      </c>
      <c r="AE31" s="1118">
        <f t="shared" si="19"/>
        <v>0</v>
      </c>
      <c r="AF31" s="1125">
        <f t="shared" si="19"/>
        <v>2592</v>
      </c>
      <c r="AG31" s="1125">
        <f t="shared" si="19"/>
        <v>0</v>
      </c>
      <c r="AH31" s="1125">
        <f t="shared" si="19"/>
        <v>116</v>
      </c>
      <c r="AI31" s="1125">
        <f t="shared" si="19"/>
        <v>0</v>
      </c>
      <c r="AJ31" s="1118">
        <f t="shared" si="19"/>
        <v>0</v>
      </c>
      <c r="AK31" s="1125">
        <f t="shared" si="19"/>
        <v>0</v>
      </c>
      <c r="AL31" s="1125">
        <f t="shared" si="19"/>
        <v>0</v>
      </c>
      <c r="AM31" s="1125">
        <f t="shared" si="19"/>
        <v>8005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4003</v>
      </c>
      <c r="BD31" s="1117">
        <f t="shared" si="19"/>
        <v>9533</v>
      </c>
      <c r="BE31" s="1117">
        <f t="shared" si="19"/>
        <v>0</v>
      </c>
      <c r="BF31" s="1127">
        <f t="shared" si="19"/>
        <v>0</v>
      </c>
      <c r="BG31" s="1223">
        <f>IF(ISNUMBER(Datos!K31/Datos!J31),Datos!K31/Datos!J31," - ")</f>
        <v>0.94091176943268873</v>
      </c>
      <c r="BH31" s="1223">
        <f>IF(ISNUMBER(((Datos!L31/Datos!K31)*11)/factor_trimestre),((Datos!L31/Datos!K31)*11)/factor_trimestre," - ")</f>
        <v>5.5025051241175129</v>
      </c>
      <c r="BI31" s="1103">
        <f>IF(ISNUMBER(Datos!J31/Datos!I31),Datos!J31/Datos!I31," - ")</f>
        <v>2.2493071454392095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-4.7414758269720103</v>
      </c>
      <c r="BM31" s="1188">
        <f>IF(ISNUMBER((Datos!P31-Datos!Q31+R31)/(Datos!R31-Datos!P31+Datos!Q31-R31)),(Datos!P31-Datos!Q31+R31)/(Datos!R31-Datos!P31+Datos!Q31-R31)," - ")</f>
        <v>-7.0806732443412651E-2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550.44444444444446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2.9735677667001128</v>
      </c>
      <c r="F33" s="673">
        <f>IF(ISNUMBER(STDEV(F8:F30)),STDEV(F8:F30),"-")</f>
        <v>688.45722971209852</v>
      </c>
      <c r="G33" s="674">
        <f>IF(ISNUMBER(STDEV(G8:G30)),STDEV(G8:G30),"-")</f>
        <v>880.30237860508919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2942.3146972711429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740.52806984085498</v>
      </c>
      <c r="BD33" s="673"/>
      <c r="BE33" s="673">
        <f>IF(ISNUMBER(STDEV(BE8:BE30)),STDEV(BE8:BE30),"-")</f>
        <v>0</v>
      </c>
      <c r="BF33" s="678">
        <f>IF(ISNUMBER(STDEV(BF8:BF30)),STDEV(BF8:BF30),"-")</f>
        <v>0</v>
      </c>
      <c r="BG33" s="1052">
        <f>IF(ISNUMBER(STDEV(BG8:BG30)),STDEV(BG8:BG30),"-")</f>
        <v>0.10129924957931261</v>
      </c>
      <c r="BH33" s="1058">
        <f>IF(ISNUMBER(STDEV(BH8:BH30)),STDEV(BH8:BH30),"-")</f>
        <v>2.5044088926466701</v>
      </c>
      <c r="BI33" s="273">
        <f>IF(ISNUMBER(STDEV(BI8:BI30)),STDEV(BI8:BI30),"-")</f>
        <v>0.52707902464225698</v>
      </c>
      <c r="BJ33" s="244" t="str">
        <f>IF(ISNUMBER(BL33/BM33),BL33/BM33," - ")</f>
        <v xml:space="preserve"> - </v>
      </c>
      <c r="BK33" s="709"/>
      <c r="BL33" s="681">
        <f>IF(ISNUMBER(STDEV(BL8:BL30)),STDEV(BL8:BL30),"-")</f>
        <v>2.9786523754960248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1Gfy8RugjKCsJNeGdVYMtKuPo9uV6iz1uzywbrZX5Hl2UKSeNsSAfQazAd2ACjeFb1kjadCgyi576GBv/IZhg==" saltValue="5FC5Q15eQNfALxJpnR8T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PUERTO DEL ROSARIO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59</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124</v>
      </c>
      <c r="Z10" s="805">
        <f>IF(ISNUMBER(Datos!Q10),Datos!Q10," - ")</f>
        <v>4</v>
      </c>
      <c r="AA10" s="551">
        <f>IF(ISNUMBER(Datos!L10),Datos!L10,"-")</f>
        <v>46</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45</v>
      </c>
      <c r="AK10" s="693">
        <f>IF(ISNUMBER(Datos!N10),Datos!N10," - ")</f>
        <v>61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4.080645161290323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0.38461538461538464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315</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998</v>
      </c>
      <c r="AA12" s="551" t="str">
        <f>IF(ISNUMBER(IF(J_V="SI",Datos!L12,Datos!L12+Datos!AB12)-IF(Monitorios="SI",Datos!CD12,0)),
                          IF(J_V="SI",Datos!L12,Datos!L12+Datos!AB12)-IF(Monitorios="SI",Datos!CD12,0),
                          " - ")</f>
        <v xml:space="preserve"> - </v>
      </c>
      <c r="AB12" s="549"/>
      <c r="AC12" s="549"/>
      <c r="AD12" s="563"/>
      <c r="AE12" s="563">
        <f>IF(ISNUMBER(Datos!R12),Datos!R12," - ")</f>
        <v>6220</v>
      </c>
      <c r="AF12" s="693" t="str">
        <f>IF(ISNUMBER(Datos!BV12),Datos!BV12," - ")</f>
        <v xml:space="preserve"> - </v>
      </c>
      <c r="AG12" s="552" t="str">
        <f>IF(ISNUMBER(Datos!DV12),Datos!DV12," - ")</f>
        <v xml:space="preserve"> - </v>
      </c>
      <c r="AH12" s="553"/>
      <c r="AI12" s="554"/>
      <c r="AJ12" s="552">
        <f>IF(ISNUMBER(Datos!M12),Datos!M12," - ")</f>
        <v>1859</v>
      </c>
      <c r="AK12" s="693">
        <f>IF(ISNUMBER(Datos!N12),Datos!N12," - ")</f>
        <v>4458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8.0103866128101551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2.2185702547247329E-2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59</v>
      </c>
      <c r="G14" s="1197">
        <f>SUBTOTAL(9,G8:G13)</f>
        <v>58</v>
      </c>
      <c r="H14" s="1211"/>
      <c r="I14" s="1197">
        <f t="shared" ref="I14:N14" si="1">SUBTOTAL(9,I8:I13)</f>
        <v>0</v>
      </c>
      <c r="J14" s="1164">
        <f t="shared" si="1"/>
        <v>0</v>
      </c>
      <c r="K14" s="1211">
        <f t="shared" si="1"/>
        <v>0</v>
      </c>
      <c r="L14" s="1211">
        <f t="shared" si="1"/>
        <v>0</v>
      </c>
      <c r="M14" s="1211">
        <f t="shared" si="1"/>
        <v>0</v>
      </c>
      <c r="N14" s="1211">
        <f t="shared" si="1"/>
        <v>1142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124</v>
      </c>
      <c r="Z14" s="1210">
        <f t="shared" si="3"/>
        <v>1002</v>
      </c>
      <c r="AA14" s="1199">
        <f t="shared" si="3"/>
        <v>46</v>
      </c>
      <c r="AB14" s="1199">
        <f t="shared" si="3"/>
        <v>0</v>
      </c>
      <c r="AC14" s="1199">
        <f t="shared" si="3"/>
        <v>0</v>
      </c>
      <c r="AD14" s="1199">
        <f t="shared" si="3"/>
        <v>0</v>
      </c>
      <c r="AE14" s="1199">
        <f t="shared" si="3"/>
        <v>6238</v>
      </c>
      <c r="AF14" s="1211">
        <f t="shared" si="3"/>
        <v>0</v>
      </c>
      <c r="AG14" s="1211">
        <f t="shared" si="3"/>
        <v>0</v>
      </c>
      <c r="AH14" s="1211">
        <f t="shared" si="3"/>
        <v>0</v>
      </c>
      <c r="AI14" s="1211">
        <f t="shared" si="3"/>
        <v>0</v>
      </c>
      <c r="AJ14" s="1211">
        <f t="shared" si="3"/>
        <v>1904</v>
      </c>
      <c r="AK14" s="1211">
        <f t="shared" si="3"/>
        <v>4519</v>
      </c>
      <c r="AL14" s="1211">
        <f t="shared" si="3"/>
        <v>0</v>
      </c>
      <c r="AM14" s="1211">
        <f t="shared" si="3"/>
        <v>0</v>
      </c>
      <c r="AN14" s="1211">
        <f t="shared" si="3"/>
        <v>0</v>
      </c>
      <c r="AO14" s="1203">
        <f>IF(ISNUMBER(((NºAsuntos!I14/NºAsuntos!G14)*11)/factor_trimestre),((NºAsuntos!I14/NºAsuntos!G14)*11)/factor_trimestre," - ")</f>
        <v>7.9549436795995003</v>
      </c>
      <c r="AP14" s="1213" t="str">
        <f>IF(ISNUMBER(Datos!CI14/Datos!CJ14),Datos!CI14/Datos!CJ14," - ")</f>
        <v xml:space="preserve"> - </v>
      </c>
      <c r="AQ14" s="1236">
        <f t="shared" ref="AQ14:AV14" si="4">SUBTOTAL(9,AQ9:AQ13)</f>
        <v>0</v>
      </c>
      <c r="AR14" s="1236">
        <f t="shared" si="4"/>
        <v>0.40680108716263197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504</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504</v>
      </c>
      <c r="C17" s="765" t="str">
        <f>Datos!A17</f>
        <v xml:space="preserve">Jdos. 1ª Instª. e Instr.                        </v>
      </c>
      <c r="D17" s="593"/>
      <c r="E17" s="1558">
        <f>IF(ISNUMBER(Datos!AQ17),Datos!AQ17," - ")</f>
        <v>7</v>
      </c>
      <c r="F17" s="543">
        <f>IF(ISNUMBER(AA17+Y17-Datos!J17-K16),AA17+Y17-Datos!J17-K16," - ")</f>
        <v>1458</v>
      </c>
      <c r="G17" s="552">
        <f>IF(ISNUMBER(IF(D_I="SI",Datos!I17,Datos!I17+Datos!AC17)),IF(D_I="SI",Datos!I17,Datos!I17+Datos!AC17)," - ")</f>
        <v>2013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6541</v>
      </c>
      <c r="Z17" s="805">
        <f>IF(ISNUMBER(Datos!Q17),Datos!Q17," - ")</f>
        <v>258</v>
      </c>
      <c r="AA17" s="551">
        <f>IF(ISNUMBER(IF(D_I="SI",Datos!L17,Datos!L17+Datos!AF17)),IF(D_I="SI",Datos!L17,Datos!L17+Datos!AF17)," - ")</f>
        <v>1944</v>
      </c>
      <c r="AB17" s="549"/>
      <c r="AC17" s="549"/>
      <c r="AD17" s="563"/>
      <c r="AE17" s="563">
        <f>IF(ISNUMBER(Datos!R17),Datos!R17," - ")</f>
        <v>430</v>
      </c>
      <c r="AF17" s="693" t="str">
        <f>IF(ISNUMBER(Datos!BV17),Datos!BV17," - ")</f>
        <v xml:space="preserve"> - </v>
      </c>
      <c r="AG17" s="552"/>
      <c r="AH17" s="553"/>
      <c r="AI17" s="554"/>
      <c r="AJ17" s="552">
        <f>IF(ISNUMBER(Datos!M17),Datos!M17," - ")</f>
        <v>1014</v>
      </c>
      <c r="AK17" s="693">
        <f>IF(ISNUMBER(Datos!N17),Datos!N17," - ")</f>
        <v>4382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3.2692248891606783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799</v>
      </c>
      <c r="Z18" s="805">
        <f>IF(ISNUMBER(Datos!Q18),Datos!Q18," - ")</f>
        <v>44</v>
      </c>
      <c r="AA18" s="551">
        <f>IF(ISNUMBER(Datos!L18),Datos!L18,"-")</f>
        <v>70</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199</v>
      </c>
      <c r="AK18" s="693">
        <f>IF(ISNUMBER(Datos!N18),Datos!N18," - ")</f>
        <v>434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0.96370463078848556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504</v>
      </c>
      <c r="C21" s="747" t="str">
        <f>Datos!A21</f>
        <v xml:space="preserve">Jdos. de lo Penal                               </v>
      </c>
      <c r="D21" s="601"/>
      <c r="E21" s="1558">
        <f>IF(ISNUMBER(Datos!AQ21),Datos!AQ21," - ")</f>
        <v>1</v>
      </c>
      <c r="F21" s="552">
        <f>IF(ISNUMBER(Datos!L21+Datos!K21-Datos!J21),Datos!L21+Datos!K21-Datos!J21," - ")</f>
        <v>268</v>
      </c>
      <c r="G21" s="552">
        <f>IF(ISNUMBER(Datos!I21),Datos!I21," - ")</f>
        <v>105</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829</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409</v>
      </c>
      <c r="Z21" s="805">
        <f>IF(ISNUMBER(Datos!Q21),Datos!Q21," - ")</f>
        <v>1477</v>
      </c>
      <c r="AA21" s="551">
        <f>IF(ISNUMBER(Datos!L21),Datos!L21,"-")</f>
        <v>202</v>
      </c>
      <c r="AB21" s="549"/>
      <c r="AC21" s="549"/>
      <c r="AD21" s="563"/>
      <c r="AE21" s="563">
        <f>IF(ISNUMBER(Datos!R21),Datos!R21," - ")</f>
        <v>1164</v>
      </c>
      <c r="AF21" s="693" t="str">
        <f>IF(ISNUMBER(Datos!BV21),Datos!BV21," - ")</f>
        <v xml:space="preserve"> - </v>
      </c>
      <c r="AG21" s="552"/>
      <c r="AH21" s="553"/>
      <c r="AI21" s="554"/>
      <c r="AJ21" s="552">
        <f>IF(ISNUMBER(Datos!M21),Datos!M21," - ")</f>
        <v>380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5.4327628361858187</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1726</v>
      </c>
      <c r="G23" s="1197">
        <f>SUBTOTAL(9,G16:G22)</f>
        <v>2176</v>
      </c>
      <c r="H23" s="1240">
        <f>SUBTOTAL(9,H16:H22)</f>
        <v>0</v>
      </c>
      <c r="I23" s="1217">
        <f>SUBTOTAL(9,I16:I22)</f>
        <v>0</v>
      </c>
      <c r="J23" s="1164">
        <f>SUBTOTAL(9,J15:J22)</f>
        <v>0</v>
      </c>
      <c r="K23" s="1240">
        <f t="shared" ref="K23:S23" si="5">SUBTOTAL(9,K16:K22)</f>
        <v>0</v>
      </c>
      <c r="L23" s="1240">
        <f t="shared" si="5"/>
        <v>0</v>
      </c>
      <c r="M23" s="1240">
        <f t="shared" si="5"/>
        <v>0</v>
      </c>
      <c r="N23" s="1240">
        <f t="shared" si="5"/>
        <v>1056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7749</v>
      </c>
      <c r="Z23" s="1240">
        <f t="shared" si="6"/>
        <v>1779</v>
      </c>
      <c r="AA23" s="1240">
        <f t="shared" si="6"/>
        <v>2216</v>
      </c>
      <c r="AB23" s="1240">
        <f t="shared" si="6"/>
        <v>0</v>
      </c>
      <c r="AC23" s="1240">
        <f t="shared" si="6"/>
        <v>0</v>
      </c>
      <c r="AD23" s="1240">
        <f t="shared" si="6"/>
        <v>0</v>
      </c>
      <c r="AE23" s="1240">
        <f t="shared" si="6"/>
        <v>1612</v>
      </c>
      <c r="AF23" s="1240">
        <f t="shared" si="6"/>
        <v>0</v>
      </c>
      <c r="AG23" s="1240">
        <f t="shared" si="6"/>
        <v>0</v>
      </c>
      <c r="AH23" s="1240">
        <f t="shared" si="6"/>
        <v>0</v>
      </c>
      <c r="AI23" s="1240">
        <f t="shared" si="6"/>
        <v>0</v>
      </c>
      <c r="AJ23" s="1240">
        <f t="shared" si="6"/>
        <v>1593</v>
      </c>
      <c r="AK23" s="1240">
        <f t="shared" si="6"/>
        <v>4816</v>
      </c>
      <c r="AL23" s="1240">
        <f t="shared" si="6"/>
        <v>0</v>
      </c>
      <c r="AM23" s="1240">
        <f t="shared" si="6"/>
        <v>0</v>
      </c>
      <c r="AN23" s="1240">
        <f t="shared" si="6"/>
        <v>0</v>
      </c>
      <c r="AO23" s="1242">
        <f>IF(ISNUMBER(((NºAsuntos!I23/NºAsuntos!G23)*11)/factor_trimestre),((NºAsuntos!I23/NºAsuntos!G23)*11)/factor_trimestre," - ")</f>
        <v>3.1456962188669504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2</v>
      </c>
      <c r="B28" s="600" t="s">
        <v>506</v>
      </c>
      <c r="C28" s="7" t="str">
        <f>Datos!A28</f>
        <v xml:space="preserve">Jdos. de lo Social                              </v>
      </c>
      <c r="D28" s="562"/>
      <c r="E28" s="1380">
        <f>IF(ISNUMBER(Datos!AQ28),Datos!AQ28," - ")</f>
        <v>2</v>
      </c>
      <c r="F28" s="552">
        <f>IF(ISNUMBER(Datos!L28+Datos!K28-Datos!J28),Datos!L28+Datos!K28-Datos!J28," - ")</f>
        <v>180</v>
      </c>
      <c r="G28" s="552">
        <f>IF(ISNUMBER(Datos!I28),Datos!I28," - ")</f>
        <v>243</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337</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330</v>
      </c>
      <c r="AB28" s="549"/>
      <c r="AC28" s="549"/>
      <c r="AD28" s="563"/>
      <c r="AE28" s="563">
        <f>IF(ISNUMBER(Datos!R28),Datos!R28," - ")</f>
        <v>155</v>
      </c>
      <c r="AF28" s="243" t="str">
        <f>IF(ISNUMBER(Datos!BV28),Datos!BV28," - ")</f>
        <v xml:space="preserve"> - </v>
      </c>
      <c r="AG28" s="552"/>
      <c r="AH28" s="553"/>
      <c r="AI28" s="554"/>
      <c r="AJ28" s="239">
        <f>IF(ISNUMBER(Datos!M28),Datos!M28," - ")</f>
        <v>506</v>
      </c>
      <c r="AK28" s="245">
        <f>IF(ISNUMBER(Datos!N28),Datos!N28," - ")</f>
        <v>198</v>
      </c>
      <c r="AL28" s="245" t="str">
        <f>IF(ISNUMBER(Datos!BW28),Datos!BW28," - ")</f>
        <v xml:space="preserve"> - </v>
      </c>
      <c r="AM28" s="246" t="str">
        <f>IF(ISNUMBER(Datos!BX28),Datos!BX28," - ")</f>
        <v xml:space="preserve"> - </v>
      </c>
      <c r="AN28" s="404"/>
      <c r="AO28" s="405">
        <f>IF(ISNUMBER(((Datos!L28/Datos!K28)*11)/factor_trimestre),((Datos!L28/Datos!K28)*11)/factor_trimestre," - ")</f>
        <v>2.5138504155124655</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2</v>
      </c>
      <c r="F30" s="1197">
        <f t="shared" si="10"/>
        <v>180</v>
      </c>
      <c r="G30" s="1197">
        <f t="shared" si="10"/>
        <v>243</v>
      </c>
      <c r="H30" s="1211">
        <f t="shared" si="10"/>
        <v>0</v>
      </c>
      <c r="I30" s="1197">
        <f t="shared" si="10"/>
        <v>0</v>
      </c>
      <c r="J30" s="1167">
        <f t="shared" si="10"/>
        <v>0</v>
      </c>
      <c r="K30" s="1197">
        <f t="shared" si="10"/>
        <v>0</v>
      </c>
      <c r="L30" s="1197">
        <f t="shared" si="10"/>
        <v>0</v>
      </c>
      <c r="M30" s="1197">
        <f t="shared" si="10"/>
        <v>0</v>
      </c>
      <c r="N30" s="1197">
        <f t="shared" si="10"/>
        <v>337</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330</v>
      </c>
      <c r="AB30" s="1199">
        <f t="shared" si="11"/>
        <v>0</v>
      </c>
      <c r="AC30" s="1199">
        <f t="shared" si="11"/>
        <v>0</v>
      </c>
      <c r="AD30" s="1210">
        <f t="shared" si="11"/>
        <v>0</v>
      </c>
      <c r="AE30" s="1210">
        <f t="shared" si="11"/>
        <v>155</v>
      </c>
      <c r="AF30" s="1211">
        <f t="shared" si="11"/>
        <v>0</v>
      </c>
      <c r="AG30" s="1197">
        <f t="shared" si="11"/>
        <v>0</v>
      </c>
      <c r="AH30" s="1212">
        <f t="shared" si="11"/>
        <v>0</v>
      </c>
      <c r="AI30" s="1207">
        <f t="shared" si="11"/>
        <v>0</v>
      </c>
      <c r="AJ30" s="1197">
        <f t="shared" si="11"/>
        <v>506</v>
      </c>
      <c r="AK30" s="1211">
        <f t="shared" si="11"/>
        <v>198</v>
      </c>
      <c r="AL30" s="1198">
        <f t="shared" si="11"/>
        <v>0</v>
      </c>
      <c r="AM30" s="1207">
        <f t="shared" si="11"/>
        <v>0</v>
      </c>
      <c r="AN30" s="1203">
        <f>IF(ISNUMBER(NºAsuntos!G30/NºAsuntos!E30),NºAsuntos!G30/NºAsuntos!E30," - ")</f>
        <v>0.90589711417816809</v>
      </c>
      <c r="AO30" s="1219">
        <f>IF(ISNUMBER(((Datos!L30/Datos!K30)*11)/factor_trimestre),((Datos!L30/Datos!K30)*11)/factor_trimestre," - ")</f>
        <v>2.5138504155124655</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1965</v>
      </c>
      <c r="G31" s="1117">
        <f t="shared" si="12"/>
        <v>2477</v>
      </c>
      <c r="H31" s="1118">
        <f t="shared" si="12"/>
        <v>0</v>
      </c>
      <c r="I31" s="1117">
        <f t="shared" si="12"/>
        <v>0</v>
      </c>
      <c r="J31" s="1119">
        <f t="shared" si="12"/>
        <v>0</v>
      </c>
      <c r="K31" s="1117">
        <f t="shared" si="12"/>
        <v>0</v>
      </c>
      <c r="L31" s="1120">
        <f t="shared" si="12"/>
        <v>0</v>
      </c>
      <c r="M31" s="1117">
        <f t="shared" si="12"/>
        <v>0</v>
      </c>
      <c r="N31" s="1118">
        <f t="shared" si="12"/>
        <v>2535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7873</v>
      </c>
      <c r="Z31" s="1124">
        <f t="shared" si="13"/>
        <v>2781</v>
      </c>
      <c r="AA31" s="1125">
        <f t="shared" si="13"/>
        <v>2592</v>
      </c>
      <c r="AB31" s="1125">
        <f t="shared" si="13"/>
        <v>0</v>
      </c>
      <c r="AC31" s="1125">
        <f t="shared" si="13"/>
        <v>0</v>
      </c>
      <c r="AD31" s="1126">
        <f t="shared" si="13"/>
        <v>0</v>
      </c>
      <c r="AE31" s="1126">
        <f t="shared" si="13"/>
        <v>8005</v>
      </c>
      <c r="AF31" s="1127">
        <f t="shared" si="13"/>
        <v>0</v>
      </c>
      <c r="AG31" s="1128">
        <f t="shared" si="13"/>
        <v>0</v>
      </c>
      <c r="AH31" s="1129">
        <f t="shared" si="13"/>
        <v>0</v>
      </c>
      <c r="AI31" s="1127">
        <f t="shared" si="13"/>
        <v>0</v>
      </c>
      <c r="AJ31" s="1117">
        <f t="shared" si="13"/>
        <v>4003</v>
      </c>
      <c r="AK31" s="1117">
        <f t="shared" si="13"/>
        <v>9533</v>
      </c>
      <c r="AL31" s="1117">
        <f t="shared" si="13"/>
        <v>0</v>
      </c>
      <c r="AM31" s="1130">
        <f t="shared" si="13"/>
        <v>0</v>
      </c>
      <c r="AN31" s="1120">
        <f>IF(ISNUMBER(Datos!K31/Datos!J31),Datos!K31/Datos!J31," - ")</f>
        <v>0.94091176943268873</v>
      </c>
      <c r="AO31" s="1120">
        <f>IF(ISNUMBER(FIND("06",Criterios!A8,1)),(IF(ISNUMBER(((Datos!R31/Datos!Q31)*11)/factor_trimestre),((Datos!R31/Datos!Q31)*11)/factor_trimestre," - ")),(IF(ISNUMBER(((Datos!L31/Datos!K31)*11)/factor_trimestre),((Datos!L31/Datos!K31)*11)/factor_trimestre," - ")))</f>
        <v>5.5025051241175129</v>
      </c>
      <c r="AP31" s="1131" t="str">
        <f>IF(ISNUMBER(Datos!CI31/Datos!CJ31),Datos!CI31/Datos!CJ31," - ")</f>
        <v xml:space="preserve"> - </v>
      </c>
      <c r="AQ31" s="1131">
        <f>IF(OR(ISNUMBER(FIND("01",Criterios!A8,1)),ISNUMBER(FIND("02",Criterios!A8,1)),ISNUMBER(FIND("03",Criterios!A8,1)),ISNUMBER(FIND("04",Criterios!A8,1))),(J31-Y31+K31)/(F31-K31),(I31-Y31+K31)/(F31-K31))</f>
        <v>-4.0066157760814249</v>
      </c>
      <c r="AR31" s="1131">
        <f>IF(ISNUMBER((Datos!P31-Datos!Q31+O31)/(Datos!R31-Datos!P31+Datos!Q31-O31)),(Datos!P31-Datos!Q31+O31)/(Datos!R31-Datos!P31+Datos!Q31-O31)," - ")</f>
        <v>-7.0806732443412651E-2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550.44444444444446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688.45722971209852</v>
      </c>
      <c r="G33" s="674">
        <f>IF(ISNUMBER(STDEV(G8:G30)),STDEV(G8:G30),"-")</f>
        <v>880.30237860508919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740.52806984085498</v>
      </c>
      <c r="AK33" s="276"/>
      <c r="AL33" s="276">
        <f>IF(ISNUMBER(STDEV(AL8:AL30)),STDEV(AL8:AL30),"-")</f>
        <v>0</v>
      </c>
      <c r="AM33" s="278">
        <f>IF(ISNUMBER(STDEV(AM8:AM30)),STDEV(AM8:AM30),"-")</f>
        <v>0</v>
      </c>
      <c r="AN33" s="660">
        <f>IF(ISNUMBER(STDEV(AN8:AN30)),STDEV(AN8:AN30),"-")</f>
        <v>0.52301994272887042</v>
      </c>
      <c r="AO33" s="661">
        <f>IF(ISNUMBER(STDEV(AO8:AO30)),STDEV(AO8:AO30),"-")</f>
        <v>2.456865413735108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97N64BKUPi3QCJ4tofcYwM8HGZt7FyqPIR/HTQzXwePrlB4K08Bg3NEwlBw4NvMTp88KTGiHSMR89FwrSEj4A==" saltValue="TkE/1z3w2nxh0jfrP/Zu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NbeYb14WOko/ol4m9U0yQ2i+ukjonJn1TaDAcJ2bZNmJrVTFAYpLoksQR/lRx+ZDl1AXksIh4pQ+PCgMsKGRHQ==" saltValue="meYlesqp5/ccDMgqY/wh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x7wPjTJ5zA32onCUCIBbXnaoSBWu4DqzGZzbs65GIgL7x3iTSL5iJTKocIuvdCmYPhagbSo6RwLwblTFU2Lkzg==" saltValue="j9rRjhjdb9OImDjaKraw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PUERTO DEL ROSARIO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0.21663442940038685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0.15318367406749192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RMhk5CIDI8QnpPnNqawhwpS2nYAhLDe6O1E78x0wW+G+9bCTFENiLAQO4sSQ6qx7JSABD1IxWVxRi6sE2N3RQ==" saltValue="+YuBTb6C3HDLmDPnSqPF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jo1znSe9/ugFlaF8dmNvQc1VAXHE33wcTdN3hoMjO7IAYJ9AcRK6QLRalgU1FKuh2Cx7DXE9fk0X50nJ2dXHPQ==" saltValue="sBEVZqD0MpLQn5519rqw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156</v>
      </c>
      <c r="B3" s="439" t="str">
        <f>Criterios!A10 &amp;"  "&amp;Criterios!B10</f>
        <v>Provincias  LAS PALMAS</v>
      </c>
      <c r="D3" s="436"/>
      <c r="E3" s="436"/>
      <c r="F3" s="436"/>
    </row>
    <row r="4" spans="1:14" ht="13.5" thickBot="1">
      <c r="A4" s="436"/>
      <c r="B4" s="439" t="str">
        <f>Criterios!A11 &amp;"  "&amp;Criterios!B11</f>
        <v>Resumenes por Partidos Judiciales  PUERTO DEL ROSARIO</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111</v>
      </c>
      <c r="F10" s="452">
        <f>IF(ISNUMBER(E10/B10),E10/B10," - ")</f>
        <v>111</v>
      </c>
      <c r="G10" s="451">
        <f>IF(ISNUMBER(Datos!K10),Datos!K10," - ")</f>
        <v>124</v>
      </c>
      <c r="H10" s="452">
        <f>IF(ISNUMBER(G10/B10),G10/B10," - ")</f>
        <v>124</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5921</v>
      </c>
      <c r="D12" s="452">
        <f>IF(ISNUMBER(C12/Datos!BH12),C12/Datos!BH12," - ")</f>
        <v>845.85714285714289</v>
      </c>
      <c r="E12" s="451">
        <f>IF(ISNUMBER(IF(J_V="SI",Datos!J12,Datos!J12+Datos!Z12)),IF(J_V="SI",Datos!J12,Datos!J12+Datos!Z12)," - ")</f>
        <v>9242</v>
      </c>
      <c r="F12" s="452">
        <f>IF(ISNUMBER(E12/B12),E12/B12," - ")</f>
        <v>1320.2857142857142</v>
      </c>
      <c r="G12" s="451">
        <f>IF(ISNUMBER(IF(J_V="SI",Datos!K12,Datos!K12+Datos!AA12)),IF(J_V="SI",Datos!K12,Datos!K12+Datos!AA12)," - ")</f>
        <v>8665</v>
      </c>
      <c r="H12" s="452">
        <f>IF(ISNUMBER(G12/B12),G12/B12," - ")</f>
        <v>1237.8571428571429</v>
      </c>
      <c r="I12" s="451">
        <f>IF(ISNUMBER(IF(J_V="SI",Datos!L12,Datos!L12+Datos!AB12)),IF(J_V="SI",Datos!L12,Datos!L12+Datos!AB12)," - ")</f>
        <v>6310</v>
      </c>
      <c r="J12" s="452">
        <f>IF(ISNUMBER(I12/B12),I12/B12," - ")</f>
        <v>901.42857142857144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5979</v>
      </c>
      <c r="D14" s="1147" t="str">
        <f>IF(ISNUMBER(C14/Datos!BI14),C14/Datos!BI14," - ")</f>
        <v xml:space="preserve"> - </v>
      </c>
      <c r="E14" s="1146">
        <f>SUBTOTAL(9,E8:E13)</f>
        <v>9353</v>
      </c>
      <c r="F14" s="1147">
        <f>IF(ISNUMBER(E14/B14),E14/B14," - ")</f>
        <v>1336.1428571428571</v>
      </c>
      <c r="G14" s="1146">
        <f>SUBTOTAL(9,G8:G13)</f>
        <v>8789</v>
      </c>
      <c r="H14" s="1147">
        <f>IF(ISNUMBER(G14/B14),G14/B14," - ")</f>
        <v>1255.5714285714287</v>
      </c>
      <c r="I14" s="1146">
        <f>SUBTOTAL(9,I8:I13)</f>
        <v>6356</v>
      </c>
      <c r="J14" s="1147">
        <f>IF(ISNUMBER(I14/B14),I14/B14," - ")</f>
        <v>908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2013</v>
      </c>
      <c r="D17" s="452">
        <f>IF(ISNUMBER(C17/Datos!BH17),C17/Datos!BH17," - ")</f>
        <v>287.57142857142856</v>
      </c>
      <c r="E17" s="451">
        <f>IF(ISNUMBER(IF(D_I="SI",Datos!J17,Datos!J17+Datos!AD17)),IF(D_I="SI",Datos!J17,Datos!J17+Datos!AD17)," - ")</f>
        <v>7027</v>
      </c>
      <c r="F17" s="452">
        <f>IF(ISNUMBER(E17/B17),E17/B17," - ")</f>
        <v>1003.8571428571429</v>
      </c>
      <c r="G17" s="451">
        <f>IF(ISNUMBER(IF(D_I="SI",Datos!K17,Datos!K17+Datos!AE17)),IF(D_I="SI",Datos!K17,Datos!K17+Datos!AE17)," - ")</f>
        <v>6541</v>
      </c>
      <c r="H17" s="452">
        <f>IF(ISNUMBER(G17/B17),G17/B17," - ")</f>
        <v>934.42857142857144</v>
      </c>
      <c r="I17" s="451">
        <f>IF(ISNUMBER(IF(D_I="SI",Datos!L17,Datos!L17+Datos!AF17)),IF(D_I="SI",Datos!L17,Datos!L17+Datos!AF17)," - ")</f>
        <v>1944</v>
      </c>
      <c r="J17" s="452">
        <f>IF(ISNUMBER(I17/B17),I17/B17," - ")</f>
        <v>277.71428571428572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791</v>
      </c>
      <c r="F18" s="452">
        <f>IF(ISNUMBER(E18/B18),E18/B18," - ")</f>
        <v>791</v>
      </c>
      <c r="G18" s="451">
        <f>IF(ISNUMBER(IF(D_I="SI",Datos!K18,Datos!K18+Datos!AE18)),IF(D_I="SI",Datos!K18,Datos!K18+Datos!AE18)," - ")</f>
        <v>799</v>
      </c>
      <c r="H18" s="452">
        <f>IF(ISNUMBER(G18/B18),G18/B18," - ")</f>
        <v>799</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105</v>
      </c>
      <c r="D21" s="452">
        <f>IF(ISNUMBER(C21/Datos!BH21),C21/Datos!BH21," - ")</f>
        <v>105</v>
      </c>
      <c r="E21" s="451">
        <f>IF(ISNUMBER(Datos!J21),Datos!J21," - ")</f>
        <v>343</v>
      </c>
      <c r="F21" s="452">
        <f>IF(ISNUMBER(E21/B21),E21/B21," - ")</f>
        <v>343</v>
      </c>
      <c r="G21" s="451">
        <f>IF(ISNUMBER(Datos!K21),Datos!K21," - ")</f>
        <v>409</v>
      </c>
      <c r="H21" s="452">
        <f>IF(ISNUMBER(G21/B21),G21/B21," - ")</f>
        <v>409</v>
      </c>
      <c r="I21" s="451">
        <f>IF(ISNUMBER(Datos!L21),Datos!L21," - ")</f>
        <v>202</v>
      </c>
      <c r="J21" s="452">
        <f>IF(ISNUMBER(I21/B21),I21/B21," - ")</f>
        <v>202</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2176</v>
      </c>
      <c r="D23" s="1147" t="str">
        <f>IF(ISNUMBER(C23/Datos!BI23),C23/Datos!BI23," - ")</f>
        <v xml:space="preserve"> - </v>
      </c>
      <c r="E23" s="1146">
        <f>SUBTOTAL(9,E15:E22)</f>
        <v>8161</v>
      </c>
      <c r="F23" s="1147">
        <f>IF(ISNUMBER(E23/B23),E23/B23," - ")</f>
        <v>1020.125</v>
      </c>
      <c r="G23" s="1146">
        <f>SUBTOTAL(9,G15:G22)</f>
        <v>7749</v>
      </c>
      <c r="H23" s="1147">
        <f>IF(ISNUMBER(G23/B23),G23/B23," - ")</f>
        <v>968.625</v>
      </c>
      <c r="I23" s="1146">
        <f>SUBTOTAL(9,I15:I22)</f>
        <v>2216</v>
      </c>
      <c r="J23" s="1147">
        <f>IF(ISNUMBER(I23/B23),I23/B23," - ")</f>
        <v>277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2</v>
      </c>
      <c r="C28" s="451">
        <f>IF(ISNUMBER(Datos!I28),Datos!I28," - ")</f>
        <v>243</v>
      </c>
      <c r="D28" s="452">
        <f>IF(ISNUMBER(C28/Datos!BH28),C28/Datos!BH28," - ")</f>
        <v>121.5</v>
      </c>
      <c r="E28" s="451">
        <f>IF(ISNUMBER(Datos!J28),Datos!J28," - ")</f>
        <v>1594</v>
      </c>
      <c r="F28" s="452">
        <f>IF(ISNUMBER(E28/B28),E28/B28," - ")</f>
        <v>797</v>
      </c>
      <c r="G28" s="451">
        <f>IF(ISNUMBER(Datos!K28),Datos!K28," - ")</f>
        <v>1444</v>
      </c>
      <c r="H28" s="452">
        <f>IF(ISNUMBER(G28/B28),G28/B28," - ")</f>
        <v>722</v>
      </c>
      <c r="I28" s="451">
        <f>IF(ISNUMBER(Datos!L28),Datos!L28," - ")</f>
        <v>330</v>
      </c>
      <c r="J28" s="452">
        <f>IF(ISNUMBER(I28/B28),I28/B28," - ")</f>
        <v>165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2</v>
      </c>
      <c r="C30" s="1146">
        <f>SUBTOTAL(9,C28:C29)</f>
        <v>243</v>
      </c>
      <c r="D30" s="1147" t="str">
        <f>IF(ISNUMBER(C30/Datos!BI30),C30/Datos!BI30," - ")</f>
        <v xml:space="preserve"> - </v>
      </c>
      <c r="E30" s="1146">
        <f>SUBTOTAL(9,E28:E29)</f>
        <v>1594</v>
      </c>
      <c r="F30" s="1147">
        <f>IF(ISNUMBER(E30/B30),E30/B30," - ")</f>
        <v>797</v>
      </c>
      <c r="G30" s="1146">
        <f>SUBTOTAL(9,G28:G29)</f>
        <v>1444</v>
      </c>
      <c r="H30" s="1147">
        <f>IF(ISNUMBER(G30/B30),G30/B30," - ")</f>
        <v>722</v>
      </c>
      <c r="I30" s="1146">
        <f>SUBTOTAL(9,I28:I29)</f>
        <v>330</v>
      </c>
      <c r="J30" s="1147">
        <f>IF(ISNUMBER(I30/B30),I30/B30," - ")</f>
        <v>165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8398</v>
      </c>
      <c r="D31" s="1085" t="str">
        <f>IF(ISNUMBER(C31/Datos!BI31),C31/Datos!BI31," - ")</f>
        <v xml:space="preserve"> - </v>
      </c>
      <c r="E31" s="1084">
        <f>SUBTOTAL(9,E9:E30)</f>
        <v>19108</v>
      </c>
      <c r="F31" s="1085">
        <f>IF(ISNUMBER(E31/B31),E31/B31," - ")</f>
        <v>1910.8</v>
      </c>
      <c r="G31" s="1084">
        <f>SUBTOTAL(9,G9:G30)</f>
        <v>17982</v>
      </c>
      <c r="H31" s="1085">
        <f>IF(ISNUMBER(G31/B31),G31/B31," - ")</f>
        <v>1798.2</v>
      </c>
      <c r="I31" s="1084">
        <f>SUBTOTAL(9,I9:I30)</f>
        <v>8902</v>
      </c>
      <c r="J31" s="1085">
        <f>IF(ISNUMBER(I31/B31),I31/B31," - ")</f>
        <v>890.2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yVPwjdPJ6FVbtMhqTNbA9KqoOs4rBxoObzUxjX0fH5/2R22ii+qNi4bmG8E9hsHX1OPfLXN98YeEywdg3e07NQ==" saltValue="n1hbSmR8qFP0tN/ICBjF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PUERTO DEL ROSARIO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315</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59</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124</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45</v>
      </c>
      <c r="AM10" s="914">
        <f>IF(ISNUMBER(Datos!N10+DatosP!N18),Datos!N10+DatosP!N18," - ")</f>
        <v>61</v>
      </c>
      <c r="AN10" s="914">
        <f>IF(ISNUMBER(Datos!BW10+DatosP!BW18),Datos!BW10+DatosP!BW18," - ")</f>
        <v>0</v>
      </c>
      <c r="AO10" s="915">
        <f>IF(ISNUMBER(Datos!BX10+DatosP!BX18),Datos!BX10+DatosP!BX18," - ")</f>
        <v>0</v>
      </c>
      <c r="AP10" s="917">
        <f>IF(ISNUMBER(((Datos!L10/Datos!K10)*11)/factor_trimestre),((Datos!L10/Datos!K10)*11)/factor_trimestre," - ")</f>
        <v>4.080645161290323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315</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1859</v>
      </c>
      <c r="AM12" s="914">
        <f>IF(ISNUMBER(Datos!N12+DatosP!N17),Datos!N12+DatosP!N17," - ")</f>
        <v>4458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8.0103866128101551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2.2185702547247329E-2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59</v>
      </c>
      <c r="G14" s="1256">
        <f t="shared" si="0"/>
        <v>58</v>
      </c>
      <c r="H14" s="1256">
        <f t="shared" si="0"/>
        <v>0</v>
      </c>
      <c r="I14" s="1258">
        <f t="shared" si="0"/>
        <v>0</v>
      </c>
      <c r="J14" s="1257">
        <f t="shared" si="0"/>
        <v>0</v>
      </c>
      <c r="K14" s="1257">
        <f t="shared" si="0"/>
        <v>0</v>
      </c>
      <c r="L14" s="1259">
        <f t="shared" si="0"/>
        <v>0</v>
      </c>
      <c r="M14" s="1259">
        <f t="shared" si="0"/>
        <v>0</v>
      </c>
      <c r="N14" s="1257">
        <f t="shared" si="0"/>
        <v>1142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124</v>
      </c>
      <c r="AC14" s="1257">
        <f t="shared" si="1"/>
        <v>0</v>
      </c>
      <c r="AD14" s="1257">
        <f t="shared" si="1"/>
        <v>998</v>
      </c>
      <c r="AE14" s="1257">
        <f t="shared" si="1"/>
        <v>0</v>
      </c>
      <c r="AF14" s="1257">
        <f t="shared" si="1"/>
        <v>46</v>
      </c>
      <c r="AG14" s="1257">
        <f t="shared" si="1"/>
        <v>0</v>
      </c>
      <c r="AH14" s="1257">
        <f t="shared" si="1"/>
        <v>6220</v>
      </c>
      <c r="AI14" s="1257">
        <f t="shared" si="1"/>
        <v>0</v>
      </c>
      <c r="AJ14" s="1257">
        <f t="shared" si="1"/>
        <v>0</v>
      </c>
      <c r="AK14" s="1257">
        <f t="shared" si="1"/>
        <v>0</v>
      </c>
      <c r="AL14" s="1257">
        <f t="shared" si="1"/>
        <v>1904</v>
      </c>
      <c r="AM14" s="1257">
        <f t="shared" si="1"/>
        <v>4519</v>
      </c>
      <c r="AN14" s="1257">
        <f t="shared" si="1"/>
        <v>0</v>
      </c>
      <c r="AO14" s="1257">
        <f t="shared" si="1"/>
        <v>0</v>
      </c>
      <c r="AP14" s="1262">
        <f>IF(ISNUMBER(((Datos!L14/Datos!K14)*11)/factor_trimestre),((Datos!L14/Datos!K14)*11)/factor_trimestre," - ")</f>
        <v>8.1997371879106424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-2.1016949152542375</v>
      </c>
      <c r="AU14" s="1257" t="str">
        <f>IF(ISNUMBER((DatosP!#REF!-DatosP!#REF!+DatosP!#REF!)/(DatosP!#REF!+DatosP!#REF!-DatosP!#REF!-DatosP!#REF!)),(DatosP!#REF!-DatosP!#REF!+DatosP!#REF!)/(DatosP!#REF!+DatosP!#REF!-DatosP!#REF!-DatosP!#REF!)," - ")</f>
        <v xml:space="preserve"> - </v>
      </c>
      <c r="AV14" s="1263">
        <f>SUBTOTAL(9,AV9:AV13)</f>
        <v>2.2185702547247329E-2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3.1456962188669504</v>
      </c>
      <c r="AQ23" s="1262">
        <f>IF(ISNUMBER(((Datos!M23/Datos!L23)*11)/factor_trimestre),((Datos!M23/Datos!L23)*11)/factor_trimestre," - ")</f>
        <v>7.9074909747292423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-0.30963597430406853</v>
      </c>
      <c r="AW23" s="1265">
        <f>IF(ISNUMBER((Datos!Q23-Datos!R23)/(Datos!S23-Datos!Q23+Datos!R23)),(Datos!Q23-Datos!R23)/(Datos!S23-Datos!Q23+Datos!R23)," - ")</f>
        <v>8.3877448518332495E-2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2</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2.5138504155124655</v>
      </c>
      <c r="AQ30" s="1262">
        <f>IF(ISNUMBER(((Datos!M30/Datos!L30)*11)/factor_trimestre),((Datos!M30/Datos!L30)*11)/factor_trimestre," - ")</f>
        <v>16.866666666666667</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-0.14835164835164835</v>
      </c>
      <c r="AW30" s="1265">
        <f>IF(ISNUMBER((Datos!Q30-Datos!R30)/(Datos!S30-Datos!Q30+Datos!R30)),(Datos!Q30-Datos!R30)/(Datos!S30-Datos!Q30+Datos!R30)," - ")</f>
        <v>3.6666666666666665</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59</v>
      </c>
      <c r="G31" s="1278">
        <f t="shared" si="8"/>
        <v>58</v>
      </c>
      <c r="H31" s="1278">
        <f t="shared" si="8"/>
        <v>0</v>
      </c>
      <c r="I31" s="1279">
        <f t="shared" si="8"/>
        <v>0</v>
      </c>
      <c r="J31" s="1280">
        <f t="shared" si="8"/>
        <v>0</v>
      </c>
      <c r="K31" s="1280">
        <f t="shared" si="8"/>
        <v>0</v>
      </c>
      <c r="L31" s="1280">
        <f t="shared" si="8"/>
        <v>0</v>
      </c>
      <c r="M31" s="1280">
        <f t="shared" si="8"/>
        <v>0</v>
      </c>
      <c r="N31" s="1279">
        <f t="shared" si="8"/>
        <v>1142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124</v>
      </c>
      <c r="AC31" s="1284">
        <f t="shared" si="9"/>
        <v>0</v>
      </c>
      <c r="AD31" s="1284">
        <f t="shared" si="9"/>
        <v>998</v>
      </c>
      <c r="AE31" s="1284">
        <f t="shared" si="9"/>
        <v>0</v>
      </c>
      <c r="AF31" s="1285">
        <f t="shared" si="9"/>
        <v>46</v>
      </c>
      <c r="AG31" s="1285">
        <f t="shared" si="9"/>
        <v>0</v>
      </c>
      <c r="AH31" s="1285">
        <f t="shared" si="9"/>
        <v>6220</v>
      </c>
      <c r="AI31" s="1285">
        <f t="shared" si="9"/>
        <v>0</v>
      </c>
      <c r="AJ31" s="1286">
        <f t="shared" si="9"/>
        <v>0</v>
      </c>
      <c r="AK31" s="1286">
        <f t="shared" si="9"/>
        <v>0</v>
      </c>
      <c r="AL31" s="1278">
        <f t="shared" si="9"/>
        <v>1904</v>
      </c>
      <c r="AM31" s="1278">
        <f t="shared" si="9"/>
        <v>4519</v>
      </c>
      <c r="AN31" s="1278">
        <f t="shared" si="9"/>
        <v>0</v>
      </c>
      <c r="AO31" s="1278">
        <f t="shared" si="9"/>
        <v>0</v>
      </c>
      <c r="AP31" s="1278">
        <f>IF(ISNUMBER(((Datos!L31/Datos!K31)*11)/factor_trimestre),((Datos!L31/Datos!K31)*11)/factor_trimestre," - ")</f>
        <v>5.5025051241175129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-2.1016949152542375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-7.0806732443412651E-2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3.0867098629086893</v>
      </c>
      <c r="F33" s="1006">
        <f>IF(ISNUMBER(STDEV(F8:F30)),STDEV(F8:F30),"-")</f>
        <v>32.315630892804798</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67.917597130640601</v>
      </c>
      <c r="AC33" s="1008">
        <f>IF(ISNUMBER(STDEV(AC8:AC30)),STDEV(AC8:AC30),"-")</f>
        <v>0</v>
      </c>
      <c r="AD33" s="1011"/>
      <c r="AE33" s="1011"/>
      <c r="AF33" s="1011"/>
      <c r="AG33" s="1011"/>
      <c r="AH33" s="1011"/>
      <c r="AI33" s="1011"/>
      <c r="AJ33" s="1012">
        <f>IF(ISNUMBER(STDEV(AJ8:AJ30)),STDEV(AJ8:AJ30),"-")</f>
        <v>0</v>
      </c>
      <c r="AK33" s="1014"/>
      <c r="AL33" s="1006">
        <f>IF(ISNUMBER(STDEV(AL8:AL30)),STDEV(AL8:AL30),"-")</f>
        <v>966.05500188481346</v>
      </c>
      <c r="AM33" s="1006"/>
      <c r="AN33" s="1006">
        <f>IF(ISNUMBER(STDEV(AN8:AN30)),STDEV(AN8:AN30),"-")</f>
        <v>0</v>
      </c>
      <c r="AO33" s="1012">
        <f>IF(ISNUMBER(STDEV(AO8:AO30)),STDEV(AO8:AO30),"-")</f>
        <v>0</v>
      </c>
      <c r="AP33" s="1065">
        <f>IF(ISNUMBER(STDEV(AP8:AP30)),STDEV(AP8:AP30),"-")</f>
        <v>2.7195919396283981</v>
      </c>
      <c r="AQ33" s="1065">
        <f>IF(ISNUMBER(STDEV(AQ8:AQ30)),STDEV(AQ8:AQ30),"-")</f>
        <v>6.3350938856106298</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YVaocEDT+m6CKO4AwGZIIFk/86GwDe+lYZBUyhJzAa30BW3/PeQH384oSq0PWGOrIkKC6DpO6HME9JKR2t5DqQ==" saltValue="Rw8mF06aUDtl8nnIMy4Q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276</v>
      </c>
      <c r="B3" s="439" t="str">
        <f>Criterios!A10 &amp;"  "&amp;Criterios!B10</f>
        <v>Provincias  LAS PALMAS</v>
      </c>
      <c r="C3" s="463"/>
      <c r="F3" s="436"/>
      <c r="G3" s="436"/>
      <c r="H3" s="436"/>
    </row>
    <row r="4" spans="1:15" ht="13.5" thickBot="1">
      <c r="A4" s="436"/>
      <c r="B4" s="439" t="str">
        <f>Criterios!A11 &amp;"  "&amp;Criterios!B11</f>
        <v>Resumenes por Partidos Judiciales  PUERTO DEL ROSARIO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2</v>
      </c>
      <c r="D28" s="451">
        <f>Datos!BK28</f>
        <v>0</v>
      </c>
      <c r="E28" s="451">
        <f>Datos!AQ28</f>
        <v>2</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udCbVIOvQ2Q2d+f2nLC/xMH3M2S0SaWEuUxFR6OyYEHKeo1AWwuZY2HdbrOvo+OWLmxLob5p9SGTv1PZjJSQw==" saltValue="eeCpqPI26nnIvGDTkU19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PUERTO DEL ROSARIO</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45</v>
      </c>
      <c r="E10" s="452">
        <f>IF(ISNUMBER(D10/B10),D10/B10," - ")</f>
        <v>45</v>
      </c>
      <c r="F10" s="451">
        <f>IF(ISNUMBER(Datos!N10),Datos!N10," - ")</f>
        <v>61</v>
      </c>
      <c r="G10" s="452">
        <f>IF(ISNUMBER(F10/B10),F10/B10," - ")</f>
        <v>61</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1859</v>
      </c>
      <c r="E12" s="452">
        <f t="shared" si="0"/>
        <v>265.57142857142856</v>
      </c>
      <c r="F12" s="451">
        <f>IF(ISNUMBER(Datos!N12),Datos!N12," - ")</f>
        <v>4458</v>
      </c>
      <c r="G12" s="452">
        <f t="shared" si="1"/>
        <v>636.85714285714289</v>
      </c>
      <c r="H12" s="451">
        <f>IF(ISNUMBER(Datos!O12),Datos!O12," - ")</f>
        <v>2099</v>
      </c>
      <c r="I12" s="452">
        <f t="shared" si="2"/>
        <v>299.85714285714283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1904</v>
      </c>
      <c r="E14" s="1147">
        <f t="shared" si="0"/>
        <v>238</v>
      </c>
      <c r="F14" s="1146">
        <f>SUBTOTAL(9,F9:F13)</f>
        <v>4519</v>
      </c>
      <c r="G14" s="1147">
        <f t="shared" si="1"/>
        <v>564.875</v>
      </c>
      <c r="H14" s="1146">
        <f>SUBTOTAL(9,H9:H13)</f>
        <v>2107</v>
      </c>
      <c r="I14" s="1147">
        <f>IF(ISNUMBER(H14/B14),H14/B14," - ")</f>
        <v>263.375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1014</v>
      </c>
      <c r="E17" s="452">
        <f t="shared" si="3"/>
        <v>144.85714285714286</v>
      </c>
      <c r="F17" s="451">
        <f>IF(ISNUMBER(Datos!N17),Datos!N17," - ")</f>
        <v>4382</v>
      </c>
      <c r="G17" s="452">
        <f t="shared" si="4"/>
        <v>626</v>
      </c>
      <c r="H17" s="451">
        <f>IF(ISNUMBER(Datos!O17),Datos!O17," - ")</f>
        <v>103</v>
      </c>
      <c r="I17" s="452">
        <f t="shared" si="5"/>
        <v>14.714285714285714</v>
      </c>
    </row>
    <row r="18" spans="1:9">
      <c r="A18" s="450" t="str">
        <f>Datos!A18</f>
        <v>Jdos. Violencia contra la mujer</v>
      </c>
      <c r="B18" s="480">
        <f>Datos!AO18</f>
        <v>1</v>
      </c>
      <c r="C18" s="481">
        <f>Datos!AQ18</f>
        <v>0</v>
      </c>
      <c r="D18" s="451">
        <f>IF(ISNUMBER(Datos!M18),Datos!M18," - ")</f>
        <v>199</v>
      </c>
      <c r="E18" s="452">
        <f>IF(ISNUMBER(D18/B18),D18/B18," - ")</f>
        <v>199</v>
      </c>
      <c r="F18" s="451">
        <f>IF(ISNUMBER(Datos!N18),Datos!N18," - ")</f>
        <v>434</v>
      </c>
      <c r="G18" s="452">
        <f>IF(ISNUMBER(F18/B18),F18/B18," - ")</f>
        <v>434</v>
      </c>
      <c r="H18" s="451">
        <f>IF(ISNUMBER(Datos!O18),Datos!O18," - ")</f>
        <v>24</v>
      </c>
      <c r="I18" s="452">
        <f t="shared" si="5"/>
        <v>24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380</v>
      </c>
      <c r="E21" s="452">
        <f t="shared" si="3"/>
        <v>380</v>
      </c>
      <c r="F21" s="451">
        <f>IF(ISNUMBER(Datos!N21),Datos!N21," - ")</f>
        <v>29</v>
      </c>
      <c r="G21" s="452">
        <f t="shared" si="4"/>
        <v>29</v>
      </c>
      <c r="H21" s="451">
        <f>IF(ISNUMBER(Datos!O21),Datos!O21," - ")</f>
        <v>634</v>
      </c>
      <c r="I21" s="452">
        <f t="shared" si="5"/>
        <v>634</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1593</v>
      </c>
      <c r="E23" s="1147">
        <f t="shared" si="3"/>
        <v>177</v>
      </c>
      <c r="F23" s="1146">
        <f>SUBTOTAL(9,F16:F22)</f>
        <v>4845</v>
      </c>
      <c r="G23" s="1147">
        <f t="shared" si="4"/>
        <v>538.33333333333337</v>
      </c>
      <c r="H23" s="1146">
        <f>SUBTOTAL(9,H16:H22)</f>
        <v>761</v>
      </c>
      <c r="I23" s="1147">
        <f>IF(ISNUMBER(H23/B23),H23/B23," - ")</f>
        <v>84.555555555555557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2</v>
      </c>
      <c r="C28" s="482">
        <f>Datos!AQ28-IF(ISNUMBER(Datos!AQ29),Datos!AQ29,0)</f>
        <v>2</v>
      </c>
      <c r="D28" s="483">
        <f>IF(ISNUMBER(Datos!M28),Datos!M28," - ")</f>
        <v>506</v>
      </c>
      <c r="E28" s="452">
        <f t="shared" ref="E28:E30" si="9">IF(ISNUMBER(D28/B28),D28/B28," - ")</f>
        <v>253</v>
      </c>
      <c r="F28" s="451">
        <f>IF(ISNUMBER(Datos!N28),Datos!N28," - ")</f>
        <v>198</v>
      </c>
      <c r="G28" s="452">
        <f t="shared" ref="G28:G30" si="10">IF(ISNUMBER(F28/B28),F28/B28," - ")</f>
        <v>99</v>
      </c>
      <c r="H28" s="451">
        <f>IF(ISNUMBER(Datos!O28),Datos!O28," - ")</f>
        <v>1048</v>
      </c>
      <c r="I28" s="452">
        <f t="shared" ref="I28:I30" si="11">IF(ISNUMBER(H28/B28),H28/B28," - ")</f>
        <v>524</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2</v>
      </c>
      <c r="C30" s="1148">
        <f>Datos!AR30</f>
        <v>2</v>
      </c>
      <c r="D30" s="1146">
        <f>SUBTOTAL(9,D28:D29)</f>
        <v>506</v>
      </c>
      <c r="E30" s="1147">
        <f t="shared" si="9"/>
        <v>253</v>
      </c>
      <c r="F30" s="1146">
        <f>SUBTOTAL(9,F28:F29)</f>
        <v>198</v>
      </c>
      <c r="G30" s="1147">
        <f t="shared" si="10"/>
        <v>99</v>
      </c>
      <c r="H30" s="1146">
        <f>SUBTOTAL(9,H28:H29)</f>
        <v>1048</v>
      </c>
      <c r="I30" s="1147">
        <f t="shared" si="11"/>
        <v>524</v>
      </c>
    </row>
    <row r="31" spans="1:9" ht="14.25" thickTop="1" thickBot="1">
      <c r="A31" s="1083" t="str">
        <f>Datos!A31</f>
        <v>TOTAL JURISDICCIONES</v>
      </c>
      <c r="B31" s="1084">
        <f>Datos!AP31</f>
        <v>10</v>
      </c>
      <c r="C31" s="1084">
        <f>Datos!AR31</f>
        <v>10</v>
      </c>
      <c r="D31" s="1084">
        <f>SUBTOTAL(9,D8:D30)</f>
        <v>4003</v>
      </c>
      <c r="E31" s="1085">
        <f>IF(ISNUMBER(D31/B31),D31/B31," - ")</f>
        <v>400.3</v>
      </c>
      <c r="F31" s="1084">
        <f>SUBTOTAL(9,F8:F30)</f>
        <v>9562</v>
      </c>
      <c r="G31" s="1085">
        <f>IF(ISNUMBER(F31/B31),F31/B31," - ")</f>
        <v>956.2</v>
      </c>
      <c r="H31" s="1084">
        <f>SUBTOTAL(9,H8:H30)</f>
        <v>3916</v>
      </c>
      <c r="I31" s="1085">
        <f>IF(ISNUMBER(H31/B31),H31/B31," - ")</f>
        <v>391.6</v>
      </c>
    </row>
    <row r="34" spans="1:1">
      <c r="A34" s="439" t="str">
        <f>Criterios!A4</f>
        <v>Fecha Informe: 14 abr. 2023</v>
      </c>
    </row>
    <row r="39" spans="1:1">
      <c r="A39" s="462"/>
    </row>
  </sheetData>
  <sheetProtection algorithmName="SHA-512" hashValue="0NLhGufwA9il1v40qXRGtISiewayjZoNWMRBFcuF8GEeN5w5YYWXmkXqbBHuxpcSIaUPYDWO3aQVna048EOKGQ==" saltValue="rAllWolUeZa4yvJP3Ou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45</v>
      </c>
      <c r="B3" s="439" t="str">
        <f>Criterios!A10 &amp;"  "&amp;Criterios!B10</f>
        <v>Provincias  LAS PALMAS</v>
      </c>
    </row>
    <row r="4" spans="1:4" ht="13.5" thickBot="1">
      <c r="B4" s="439" t="str">
        <f>Criterios!A11 &amp;"  "&amp;Criterios!B11</f>
        <v>Resumenes por Partidos Judiciales  PUERTO DEL ROSARIO</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4</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1133</v>
      </c>
      <c r="C12" s="489">
        <f>IF(ISNUMBER(Datos!Q12),Datos!Q12," - ")</f>
        <v>998</v>
      </c>
      <c r="D12" s="456">
        <f>IF(ISNUMBER(Datos!R12),Datos!R12," - ")</f>
        <v>6220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1142</v>
      </c>
      <c r="C14" s="1150">
        <f>SUBTOTAL(9,C9:C13)</f>
        <v>1002</v>
      </c>
      <c r="D14" s="1148">
        <f>SUBTOTAL(9,D9:D13)</f>
        <v>6238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192</v>
      </c>
      <c r="C17" s="489">
        <f>IF(ISNUMBER(Datos!Q17),Datos!Q17," - ")</f>
        <v>258</v>
      </c>
      <c r="D17" s="456">
        <f>IF(ISNUMBER(Datos!R17),Datos!R17," - ")</f>
        <v>430</v>
      </c>
    </row>
    <row r="18" spans="1:4">
      <c r="A18" s="450" t="str">
        <f>Datos!A18</f>
        <v>Jdos. Violencia contra la mujer</v>
      </c>
      <c r="B18" s="488">
        <f>IF(ISNUMBER(Datos!P18),Datos!P18," - ")</f>
        <v>35</v>
      </c>
      <c r="C18" s="489">
        <f>IF(ISNUMBER(Datos!Q18),Datos!Q18," - ")</f>
        <v>44</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829</v>
      </c>
      <c r="C21" s="489">
        <f>IF(ISNUMBER(Datos!Q21),Datos!Q21," - ")</f>
        <v>1477</v>
      </c>
      <c r="D21" s="456">
        <f>IF(ISNUMBER(Datos!R21),Datos!R21," - ")</f>
        <v>1164</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1056</v>
      </c>
      <c r="C23" s="1150">
        <f>SUBTOTAL(9,C16:C22)</f>
        <v>1779</v>
      </c>
      <c r="D23" s="1148">
        <f>SUBTOTAL(9,D16:D22)</f>
        <v>1612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337</v>
      </c>
      <c r="C28" s="489">
        <f>IF(ISNUMBER(Datos!Q28),Datos!Q28," - ")</f>
        <v>364</v>
      </c>
      <c r="D28" s="456">
        <f>IF(ISNUMBER(Datos!R28),Datos!R28," - ")</f>
        <v>155</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337</v>
      </c>
      <c r="C30" s="1150">
        <f>SUBTOTAL(9,C28:C29)</f>
        <v>364</v>
      </c>
      <c r="D30" s="1148">
        <f>SUBTOTAL(9,D28:D29)</f>
        <v>155</v>
      </c>
    </row>
    <row r="31" spans="1:4" ht="16.5" customHeight="1" thickTop="1" thickBot="1">
      <c r="A31" s="1083" t="str">
        <f>Datos!A31</f>
        <v>TOTAL JURISDICCIONES</v>
      </c>
      <c r="B31" s="1088">
        <f>SUBTOTAL(9,B8:B30)</f>
        <v>2535</v>
      </c>
      <c r="C31" s="1089">
        <f>SUBTOTAL(9,C8:C30)</f>
        <v>3145</v>
      </c>
      <c r="D31" s="1090">
        <f>SUBTOTAL(9,D8:D30)</f>
        <v>8005</v>
      </c>
    </row>
    <row r="32" spans="1:4" ht="7.5" customHeight="1"/>
    <row r="33" spans="1:1" ht="6" customHeight="1"/>
    <row r="34" spans="1:1">
      <c r="A34" s="439" t="str">
        <f>Criterios!A4</f>
        <v>Fecha Informe: 14 abr. 2023</v>
      </c>
    </row>
    <row r="39" spans="1:1">
      <c r="A39" s="462"/>
    </row>
  </sheetData>
  <sheetProtection algorithmName="SHA-512" hashValue="u2uMpCitELryfkJfeCD7jk+plsgW//HBKxCddrVedbxMY2SLOwzJMqsE2QB1mBNtSLigEvLJOC5xezkz1C/qKw==" saltValue="N4zdwOnDIfbc6QxcRPOQ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159</v>
      </c>
      <c r="B3" s="439" t="str">
        <f>Criterios!A10 &amp;"  "&amp;Criterios!B10</f>
        <v>Provincias  LAS PALMAS</v>
      </c>
    </row>
    <row r="4" spans="1:11" ht="10.5" customHeight="1" thickBot="1">
      <c r="B4" s="439" t="str">
        <f>Criterios!A11 &amp;"  "&amp;Criterios!B11</f>
        <v>Resumenes por Partidos Judiciales  PUERTO DEL ROSARIO</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-4.9180327868852458E-2</v>
      </c>
      <c r="C10" s="515">
        <f>IF(ISNUMBER((Datos!J10-Datos!T10)/Datos!T10),(Datos!J10-Datos!T10)/Datos!T10," - ")</f>
        <v>0.44155844155844154</v>
      </c>
      <c r="D10" s="515">
        <f>IF(ISNUMBER((Datos!K10-Datos!U10)/Datos!U10),(Datos!K10-Datos!U10)/Datos!U10," - ")</f>
        <v>0.77142857142857146</v>
      </c>
      <c r="E10" s="515">
        <f>IF(ISNUMBER((Datos!L10-Datos!V10)/Datos!V10),(Datos!L10-Datos!V10)/Datos!V10," - ")</f>
        <v>-0.20689655172413793</v>
      </c>
      <c r="F10" s="515">
        <f>IF(ISNUMBER((Datos!M10-Datos!W10)/Datos!W10),(Datos!M10-Datos!W10)/Datos!W10," - ")</f>
        <v>0.25</v>
      </c>
      <c r="G10" s="516">
        <f>IF(ISNUMBER((Datos!N10-Datos!X10)/Datos!X10),(Datos!N10-Datos!X10)/Datos!X10," - ")</f>
        <v>1.3461538461538463</v>
      </c>
      <c r="H10" s="514">
        <f>IF(ISNUMBER(((NºAsuntos!G10/NºAsuntos!E10)-Datos!BD10)/Datos!BD10),((NºAsuntos!G10/NºAsuntos!E10)-Datos!BD10)/Datos!BD10," - ")</f>
        <v>0.22882882882882877</v>
      </c>
      <c r="I10" s="515">
        <f>IF(ISNUMBER(((NºAsuntos!I10/NºAsuntos!G10)-Datos!BE10)/Datos!BE10),((NºAsuntos!I10/NºAsuntos!G10)-Datos!BE10)/Datos!BE10," - ")</f>
        <v>-0.55228031145717471</v>
      </c>
      <c r="J10" s="521">
        <f>IF(ISNUMBER((('Resol  Asuntos'!D10/NºAsuntos!G10)-Datos!BF10)/Datos!BF10),(('Resol  Asuntos'!D10/NºAsuntos!G10)-Datos!BF10)/Datos!BF10," - ")</f>
        <v>-0.29435483870967732</v>
      </c>
      <c r="K10" s="522">
        <f>IF(ISNUMBER((((NºAsuntos!C10+NºAsuntos!E10)/NºAsuntos!G10)-Datos!BG10)/Datos!BG10),(((NºAsuntos!C10+NºAsuntos!E10)/NºAsuntos!G10)-Datos!BG10)/Datos!BG10," - ")</f>
        <v>-0.30867227676484349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6.1491574040874866E-2</v>
      </c>
      <c r="C12" s="515">
        <f>IF(ISNUMBER(
   IF(J_V="SI",(Datos!J12-Datos!T12)/Datos!T12,(Datos!J12+Datos!Z12-(Datos!T12+Datos!AH12))/(Datos!T12+Datos!AH12))
     ),IF(J_V="SI",(Datos!J12-Datos!T12)/Datos!T12,(Datos!J12+Datos!Z12-(Datos!T12+Datos!AH12))/(Datos!T12+Datos!AH12))," - ")</f>
        <v>0.29349195241427573</v>
      </c>
      <c r="D12" s="515">
        <f>IF(ISNUMBER(
   IF(J_V="SI",(Datos!K12-Datos!U12)/Datos!U12,(Datos!K12+Datos!AA12-(Datos!U12+Datos!AI12))/(Datos!U12+Datos!AI12))
     ),IF(J_V="SI",(Datos!K12-Datos!U12)/Datos!U12,(Datos!K12+Datos!AA12-(Datos!U12+Datos!AI12))/(Datos!U12+Datos!AI12))," - ")</f>
        <v>0.29020250148898152</v>
      </c>
      <c r="E12" s="515">
        <f>IF(ISNUMBER(
   IF(J_V="SI",(Datos!L12-Datos!V12)/Datos!V12,(Datos!L12+Datos!AB12-(Datos!V12+Datos!AJ12))/(Datos!V12+Datos!AJ12))
     ),IF(J_V="SI",(Datos!L12-Datos!V12)/Datos!V12,(Datos!L12+Datos!AB12-(Datos!V12+Datos!AJ12))/(Datos!V12+Datos!AJ12))," - ")</f>
        <v>6.5698361763215668E-2</v>
      </c>
      <c r="F12" s="515">
        <f>IF(ISNUMBER((Datos!M12-Datos!W12)/Datos!W12),(Datos!M12-Datos!W12)/Datos!W12," - ")</f>
        <v>0.32219061166429586</v>
      </c>
      <c r="G12" s="516">
        <f>IF(ISNUMBER((Datos!N12-Datos!X12)/Datos!X12),(Datos!N12-Datos!X12)/Datos!X12," - ")</f>
        <v>0.7489211455472734</v>
      </c>
      <c r="H12" s="514">
        <f>IF(ISNUMBER(((NºAsuntos!G12/NºAsuntos!E12)-Datos!BD12)/Datos!BD12),((NºAsuntos!G12/NºAsuntos!E12)-Datos!BD12)/Datos!BD12," - ")</f>
        <v>-2.5430779984015259E-3</v>
      </c>
      <c r="I12" s="515">
        <f>IF(ISNUMBER(((NºAsuntos!I12/NºAsuntos!G12)-Datos!BE12)/Datos!BE12),((NºAsuntos!I12/NºAsuntos!G12)-Datos!BE12)/Datos!BE12," - ")</f>
        <v>-0.17400690160395199</v>
      </c>
      <c r="J12" s="521">
        <f>IF(ISNUMBER((('Resol  Asuntos'!D12/NºAsuntos!G12)-Datos!BF12)/Datos!BF12),(('Resol  Asuntos'!D12/NºAsuntos!G12)-Datos!BF12)/Datos!BF12," - ")</f>
        <v>-0.43473554794577918</v>
      </c>
      <c r="K12" s="522">
        <f>IF(ISNUMBER((((NºAsuntos!C12+NºAsuntos!E12)/NºAsuntos!G12)-Datos!BG12)/Datos!BG12),(((NºAsuntos!C12+NºAsuntos!E12)/NºAsuntos!G12)-Datos!BG12)/Datos!BG12," - ")</f>
        <v>-7.6285569763180197E-2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6.0294378435892887E-2</v>
      </c>
      <c r="C14" s="1152">
        <f>IF(ISNUMBER(
   IF(J_V="SI",(Datos!J14-Datos!T14)/Datos!T14,(Datos!J14+Datos!Z14-(Datos!T14+Datos!AH14))/(Datos!T14+Datos!AH14))
     ),IF(J_V="SI",(Datos!J14-Datos!T14)/Datos!T14,(Datos!J14+Datos!Z14-(Datos!T14+Datos!AH14))/(Datos!T14+Datos!AH14))," - ")</f>
        <v>0.29507061755746333</v>
      </c>
      <c r="D14" s="1152">
        <f>IF(ISNUMBER(
   IF(J_V="SI",(Datos!K14-Datos!U14)/Datos!U14,(Datos!K14+Datos!AA14-(Datos!U14+Datos!AI14))/(Datos!U14+Datos!AI14))
     ),IF(J_V="SI",(Datos!K14-Datos!U14)/Datos!U14,(Datos!K14+Datos!AA14-(Datos!U14+Datos!AI14))/(Datos!U14+Datos!AI14))," - ")</f>
        <v>0.29516651930445031</v>
      </c>
      <c r="E14" s="1152">
        <f>IF(ISNUMBER(
   IF(J_V="SI",(Datos!L14-Datos!V14)/Datos!V14,(Datos!L14+Datos!AB14-(Datos!V14+Datos!AJ14))/(Datos!V14+Datos!AJ14))
     ),IF(J_V="SI",(Datos!L14-Datos!V14)/Datos!V14,(Datos!L14+Datos!AB14-(Datos!V14+Datos!AJ14))/(Datos!V14+Datos!AJ14))," - ")</f>
        <v>6.3054022411774546E-2</v>
      </c>
      <c r="F14" s="1153">
        <f>IF(ISNUMBER((Datos!M14-Datos!W14)/Datos!W14),(Datos!M14-Datos!W14)/Datos!W14," - ")</f>
        <v>0.32038834951456313</v>
      </c>
      <c r="G14" s="1154">
        <f>IF(ISNUMBER((Datos!N14-Datos!X14)/Datos!X14),(Datos!N14-Datos!X14)/Datos!X14," - ")</f>
        <v>0.75495145631067961</v>
      </c>
      <c r="H14" s="1154">
        <f>IF(ISNUMBER(((NºAsuntos!G14/NºAsuntos!E14)-Datos!BD14)/Datos!BD14),((NºAsuntos!G14/NºAsuntos!E14)-Datos!BD14)/Datos!BD14," - ")</f>
        <v>7.4051364988811526E-5</v>
      </c>
      <c r="I14" s="1154">
        <f>IF(ISNUMBER(((NºAsuntos!I14/NºAsuntos!G14)-Datos!BE14)/Datos!BE14),((NºAsuntos!I14/NºAsuntos!G14)-Datos!BE14)/Datos!BE14," - ")</f>
        <v>-0.17921440481439271</v>
      </c>
      <c r="J14" s="1154">
        <f>IF(ISNUMBER((('Resol  Asuntos'!D14/NºAsuntos!G14)-Datos!BF14)/Datos!BF14),(('Resol  Asuntos'!D14/NºAsuntos!G14)-Datos!BF14)/Datos!BF14," - ")</f>
        <v>-0.43130319616594764</v>
      </c>
      <c r="K14" s="1154">
        <f>IF(ISNUMBER((((NºAsuntos!C14+NºAsuntos!E14)/NºAsuntos!G14)-Datos!BG14)/Datos!BG14),(((NºAsuntos!C14+NºAsuntos!E14)/NºAsuntos!G14)-Datos!BG14)/Datos!BG14," - ")</f>
        <v>-7.9553685379196784E-2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9.0465872156012997E-2</v>
      </c>
      <c r="C17" s="515">
        <f>IF(ISNUMBER(
   IF(D_I="SI",(Datos!J17-Datos!T17)/Datos!T17,(Datos!J17+Datos!AD17-(Datos!T17+Datos!AL17))/(Datos!T17+Datos!AL17))
     ),IF(D_I="SI",(Datos!J17-Datos!T17)/Datos!T17,(Datos!J17+Datos!AD17-(Datos!T17+Datos!AL17))/(Datos!T17+Datos!AL17))," - ")</f>
        <v>0.10262042993880433</v>
      </c>
      <c r="D17" s="515">
        <f>IF(ISNUMBER(
   IF(D_I="SI",(Datos!K17-Datos!U17)/Datos!U17,(Datos!K17+Datos!AE17-(Datos!U17+Datos!AM17))/(Datos!U17+Datos!AM17))
     ),IF(D_I="SI",(Datos!K17-Datos!U17)/Datos!U17,(Datos!K17+Datos!AE17-(Datos!U17+Datos!AM17))/(Datos!U17+Datos!AM17))," - ")</f>
        <v>5.0931876606683801E-2</v>
      </c>
      <c r="E17" s="515">
        <f>IF(ISNUMBER(
   IF(D_I="SI",(Datos!L17-Datos!V17)/Datos!V17,(Datos!L17+Datos!AF17-(Datos!V17+Datos!AN17))/(Datos!V17+Datos!AN17))
     ),IF(D_I="SI",(Datos!L17-Datos!V17)/Datos!V17,(Datos!L17+Datos!AF17-(Datos!V17+Datos!AN17))/(Datos!V17+Datos!AN17))," - ")</f>
        <v>-3.4277198211624442E-2</v>
      </c>
      <c r="F17" s="515">
        <f>IF(ISNUMBER((Datos!M17-Datos!W17)/Datos!W17),(Datos!M17-Datos!W17)/Datos!W17," - ")</f>
        <v>0.1118421052631579</v>
      </c>
      <c r="G17" s="516">
        <f>IF(ISNUMBER((Datos!N17-Datos!X17)/Datos!X17),(Datos!N17-Datos!X17)/Datos!X17," - ")</f>
        <v>7.5879512531616461E-3</v>
      </c>
      <c r="H17" s="514">
        <f>IF(ISNUMBER(((NºAsuntos!G17/NºAsuntos!E17)-Datos!BD17)/Datos!BD17),((NºAsuntos!G17/NºAsuntos!E17)-Datos!BD17)/Datos!BD17," - ")</f>
        <v>-4.6877920931493407E-2</v>
      </c>
      <c r="I17" s="515">
        <f>IF(ISNUMBER(((NºAsuntos!I17/NºAsuntos!G17)-Datos!BE17)/Datos!BE17),((NºAsuntos!I17/NºAsuntos!G17)-Datos!BE17)/Datos!BE17," - ")</f>
        <v>-8.107954160971588E-2</v>
      </c>
      <c r="J17" s="521">
        <f>IF(ISNUMBER((('Resol  Asuntos'!D17/NºAsuntos!G17)-Datos!BF17)/Datos!BF17),(('Resol  Asuntos'!D17/NºAsuntos!G17)-Datos!BF17)/Datos!BF17," - ")</f>
        <v>5.7958303494556593E-2</v>
      </c>
      <c r="K17" s="522">
        <f>IF(ISNUMBER((((NºAsuntos!C17+NºAsuntos!E17)/NºAsuntos!G17)-Datos!BG17)/Datos!BG17),(((NºAsuntos!C17+NºAsuntos!E17)/NºAsuntos!G17)-Datos!BG17)/Datos!BG17," - ")</f>
        <v>4.6585913045901331E-2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6.7476383265856948E-2</v>
      </c>
      <c r="D18" s="515">
        <f>IF(ISNUMBER(
   IF(D_I="SI",(Datos!K18-Datos!U18)/Datos!U18,(Datos!K18+Datos!AE18-(Datos!U18+Datos!AM18))/(Datos!U18+Datos!AM18))
     ),IF(D_I="SI",(Datos!K18-Datos!U18)/Datos!U18,(Datos!K18+Datos!AE18-(Datos!U18+Datos!AM18))/(Datos!U18+Datos!AM18))," - ")</f>
        <v>1.1392405063291139E-2</v>
      </c>
      <c r="E18" s="515">
        <f>IF(ISNUMBER(
   IF(D_I="SI",(Datos!L18-Datos!V18)/Datos!V18,(Datos!L18+Datos!AF18-(Datos!V18+Datos!AN18))/(Datos!V18+Datos!AN18))
     ),IF(D_I="SI",(Datos!L18-Datos!V18)/Datos!V18,(Datos!L18+Datos!AF18-(Datos!V18+Datos!AN18))/(Datos!V18+Datos!AN18))," - ")</f>
        <v>0.20689655172413793</v>
      </c>
      <c r="F18" s="515">
        <f>IF(ISNUMBER((Datos!M18-Datos!W18)/Datos!W18),(Datos!M18-Datos!W18)/Datos!W18," - ")</f>
        <v>-3.3980582524271843E-2</v>
      </c>
      <c r="G18" s="516">
        <f>IF(ISNUMBER((Datos!N18-Datos!X18)/Datos!X18),(Datos!N18-Datos!X18)/Datos!X18," - ")</f>
        <v>9.5959595959595953E-2</v>
      </c>
      <c r="H18" s="514">
        <f>IF(ISNUMBER(((NºAsuntos!G18/NºAsuntos!E18)-Datos!BD18)/Datos!BD18),((NºAsuntos!G18/NºAsuntos!E18)-Datos!BD18)/Datos!BD18," - ")</f>
        <v>-5.2538846837043428E-2</v>
      </c>
      <c r="I18" s="515">
        <f>IF(ISNUMBER(((NºAsuntos!I18/NºAsuntos!G18)-Datos!BE18)/Datos!BE18),((NºAsuntos!I18/NºAsuntos!G18)-Datos!BE18)/Datos!BE18," - ")</f>
        <v>0.19330197229295229</v>
      </c>
      <c r="J18" s="521">
        <f>IF(ISNUMBER((('Resol  Asuntos'!D18/NºAsuntos!G18)-Datos!BF18)/Datos!BF18),(('Resol  Asuntos'!D18/NºAsuntos!G18)-Datos!BF18)/Datos!BF18," - ")</f>
        <v>-4.486190262099473E-2</v>
      </c>
      <c r="K18" s="522">
        <f>IF(ISNUMBER((((NºAsuntos!C18+NºAsuntos!E18)/NºAsuntos!G18)-Datos!BG18)/Datos!BG18),(((NºAsuntos!C18+NºAsuntos!E18)/NºAsuntos!G18)-Datos!BG18)/Datos!BG18," - ")</f>
        <v>1.3812555549509255E-2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-0.53333333333333333</v>
      </c>
      <c r="C21" s="515">
        <f>IF(ISNUMBER((Datos!J21-Datos!T21)/Datos!T21),(Datos!J21-Datos!T21)/Datos!T21," - ")</f>
        <v>0.12828947368421054</v>
      </c>
      <c r="D21" s="515">
        <f>IF(ISNUMBER((Datos!K21-Datos!U21)/Datos!U21),(Datos!K21-Datos!U21)/Datos!U21," - ")</f>
        <v>-3.9906103286384977E-2</v>
      </c>
      <c r="E21" s="515">
        <f>IF(ISNUMBER((Datos!L21-Datos!V21)/Datos!V21),(Datos!L21-Datos!V21)/Datos!V21," - ")</f>
        <v>0.92380952380952386</v>
      </c>
      <c r="F21" s="515">
        <f>IF(ISNUMBER((Datos!M21-Datos!W21)/Datos!W21),(Datos!M21-Datos!W21)/Datos!W21," - ")</f>
        <v>6.1452513966480445E-2</v>
      </c>
      <c r="G21" s="516">
        <f>IF(ISNUMBER((Datos!N21-Datos!X21)/Datos!X21),(Datos!N21-Datos!X21)/Datos!X21," - ")</f>
        <v>-0.59154929577464788</v>
      </c>
      <c r="H21" s="514">
        <f>IF(ISNUMBER(((NºAsuntos!G21/NºAsuntos!E21)-Datos!BD21)/Datos!BD21),((NºAsuntos!G21/NºAsuntos!E21)-Datos!BD21)/Datos!BD21," - ")</f>
        <v>-0.14907129853953655</v>
      </c>
      <c r="I21" s="515">
        <f>IF(ISNUMBER(((NºAsuntos!I21/NºAsuntos!G21)-Datos!BE21)/Datos!BE21),((NºAsuntos!I21/NºAsuntos!G21)-Datos!BE21)/Datos!BE21," - ")</f>
        <v>1.0037722668529514</v>
      </c>
      <c r="J21" s="521">
        <f>IF(ISNUMBER((('Resol  Asuntos'!D21/NºAsuntos!G21)-Datos!BF21)/Datos!BF21),(('Resol  Asuntos'!D21/NºAsuntos!G21)-Datos!BF21)/Datos!BF21," - ")</f>
        <v>0.10557156711423138</v>
      </c>
      <c r="K21" s="522">
        <f>IF(ISNUMBER((((NºAsuntos!C21+NºAsuntos!E21)/NºAsuntos!G21)-Datos!BG21)/Datos!BG21),(((NºAsuntos!C21+NºAsuntos!E21)/NºAsuntos!G21)-Datos!BG21)/Datos!BG21," - ")</f>
        <v>-0.11791866371481005</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8.3410565338276187E-3</v>
      </c>
      <c r="C23" s="1152">
        <f>IF(ISNUMBER(
   IF(Criterios!B14="SI",(Datos!J23-Datos!T23)/Datos!T23,(Datos!J23+Datos!AD23-(Datos!T23+Datos!AL23))/(Datos!T23+Datos!AL23))
     ),IF(Criterios!B14="SI",(Datos!J23-Datos!T23)/Datos!T23,(Datos!J23+Datos!AD23-(Datos!T23+Datos!AL23))/(Datos!T23+Datos!AL23))," - ")</f>
        <v>0.10016176867080076</v>
      </c>
      <c r="D23" s="1152">
        <f>IF(ISNUMBER(
   IF(Criterios!B14="SI",(Datos!K23-Datos!U23)/Datos!U23,(Datos!K23+Datos!AE23-(Datos!U23+Datos!AM23))/(Datos!U23+Datos!AM23))
     ),IF(Criterios!B14="SI",(Datos!K23-Datos!U23)/Datos!U23,(Datos!K23+Datos!AE23-(Datos!U23+Datos!AM23))/(Datos!U23+Datos!AM23))," - ")</f>
        <v>4.1532258064516131E-2</v>
      </c>
      <c r="E23" s="1152">
        <f>IF(ISNUMBER(
   IF(Criterios!B14="SI",(Datos!L23-Datos!V23)/Datos!V23,(Datos!L23+Datos!AF23-(Datos!V23+Datos!AN23))/(Datos!V23+Datos!AN23))
     ),IF(Criterios!B14="SI",(Datos!L23-Datos!V23)/Datos!V23,(Datos!L23+Datos!AF23-(Datos!V23+Datos!AN23))/(Datos!V23+Datos!AN23))," - ")</f>
        <v>1.8382352941176471E-2</v>
      </c>
      <c r="F23" s="1153">
        <f>IF(ISNUMBER((Datos!M23-Datos!W23)/Datos!W23),(Datos!M23-Datos!W23)/Datos!W23," - ")</f>
        <v>7.926829268292683E-2</v>
      </c>
      <c r="G23" s="1154">
        <f>IF(ISNUMBER((Datos!N23-Datos!X23)/Datos!X23),(Datos!N23-Datos!X23)/Datos!X23," - ")</f>
        <v>6.0215946843853825E-3</v>
      </c>
      <c r="H23" s="1154">
        <f>IF(ISNUMBER(((NºAsuntos!G23/NºAsuntos!E23)-Datos!BD23)/Datos!BD23),((NºAsuntos!G23/NºAsuntos!E23)-Datos!BD23)/Datos!BD23," - ")</f>
        <v>-5.3291717887197596E-2</v>
      </c>
      <c r="I23" s="1154">
        <f>IF(ISNUMBER(((NºAsuntos!I23/NºAsuntos!G23)-Datos!BE23)/Datos!BE23),((NºAsuntos!I23/NºAsuntos!G23)-Datos!BE23)/Datos!BE23," - ")</f>
        <v>-2.2226776889617699E-2</v>
      </c>
      <c r="J23" s="1154">
        <f>IF(ISNUMBER((('Resol  Asuntos'!D23/NºAsuntos!G23)-Datos!BF23)/Datos!BF23),(('Resol  Asuntos'!D23/NºAsuntos!G23)-Datos!BF23)/Datos!BF23," - ")</f>
        <v>3.6231268236027292E-2</v>
      </c>
      <c r="K23" s="1154">
        <f>IF(ISNUMBER((((NºAsuntos!C23+NºAsuntos!E23)/NºAsuntos!G23)-Datos!BG23)/Datos!BG23),(((NºAsuntos!C23+NºAsuntos!E23)/NºAsuntos!G23)-Datos!BG23)/Datos!BG23," - ")</f>
        <v>3.6424459005301363E-2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-8.646616541353383E-2</v>
      </c>
      <c r="C28" s="515">
        <f>IF(ISNUMBER((Datos!J28-Datos!T28)/Datos!T28),(Datos!J28-Datos!T28)/Datos!T28," - ")</f>
        <v>0.23565891472868217</v>
      </c>
      <c r="D28" s="515">
        <f>IF(ISNUMBER((Datos!K28-Datos!U28)/Datos!U28),(Datos!K28-Datos!U28)/Datos!U28," - ")</f>
        <v>0.10482019892884469</v>
      </c>
      <c r="E28" s="515">
        <f>IF(ISNUMBER((Datos!L28-Datos!V28)/Datos!V28),(Datos!L28-Datos!V28)/Datos!V28," - ")</f>
        <v>0.35802469135802467</v>
      </c>
      <c r="F28" s="515">
        <f>IF(ISNUMBER((Datos!M28-Datos!W28)/Datos!W28),(Datos!M28-Datos!W28)/Datos!W28," - ")</f>
        <v>-4.3478260869565216E-2</v>
      </c>
      <c r="G28" s="516">
        <f>IF(ISNUMBER((Datos!N28-Datos!X28)/Datos!X28),(Datos!N28-Datos!X28)/Datos!X28," - ")</f>
        <v>0.26923076923076922</v>
      </c>
      <c r="H28" s="514">
        <f>IF(ISNUMBER(((NºAsuntos!G28/NºAsuntos!E28)-Datos!BD28)/Datos!BD28),((NºAsuntos!G28/NºAsuntos!E28)-Datos!BD28)/Datos!BD28," - ")</f>
        <v>-0.10588578631229008</v>
      </c>
      <c r="I28" s="515">
        <f>IF(ISNUMBER(((NºAsuntos!I28/NºAsuntos!G28)-Datos!BE28)/Datos!BE28),((NºAsuntos!I28/NºAsuntos!G28)-Datos!BE28)/Datos!BE28," - ")</f>
        <v>0.22918162853527588</v>
      </c>
      <c r="J28" s="521">
        <f>IF(ISNUMBER((('Resol  Asuntos'!D28/NºAsuntos!G28)-Datos!BF28)/Datos!BF28),(('Resol  Asuntos'!D28/NºAsuntos!G28)-Datos!BF28)/Datos!BF28," - ")</f>
        <v>-0.13422859207515356</v>
      </c>
      <c r="K28" s="522">
        <f>IF(ISNUMBER((((NºAsuntos!C28+NºAsuntos!E28)/NºAsuntos!G28)-Datos!BG28)/Datos!BG28),(((NºAsuntos!C28+NºAsuntos!E28)/NºAsuntos!G28)-Datos!BG28)/Datos!BG28," - ")</f>
        <v>6.8582255089760638E-2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-8.646616541353383E-2</v>
      </c>
      <c r="C30" s="1152">
        <f>IF(ISNUMBER((Datos!J30-Datos!T30)/Datos!T30),(Datos!J30-Datos!T30)/Datos!T30," - ")</f>
        <v>0.23565891472868217</v>
      </c>
      <c r="D30" s="1152">
        <f>IF(ISNUMBER((Datos!K30-Datos!U30)/Datos!U30),(Datos!K30-Datos!U30)/Datos!U30," - ")</f>
        <v>0.10482019892884469</v>
      </c>
      <c r="E30" s="1152">
        <f>IF(ISNUMBER((Datos!L30-Datos!V30)/Datos!V30),(Datos!L30-Datos!V30)/Datos!V30," - ")</f>
        <v>0.35802469135802467</v>
      </c>
      <c r="F30" s="1153">
        <f>IF(ISNUMBER((Datos!M30-Datos!W30)/Datos!W30),(Datos!M30-Datos!W30)/Datos!W30," - ")</f>
        <v>-4.3478260869565216E-2</v>
      </c>
      <c r="G30" s="1154">
        <f>IF(ISNUMBER((Datos!N30-Datos!X30)/Datos!X30),(Datos!N30-Datos!X30)/Datos!X30," - ")</f>
        <v>0.26923076923076922</v>
      </c>
      <c r="H30" s="1154">
        <f>IF(ISNUMBER(((NºAsuntos!G30/NºAsuntos!E30)-Datos!BD30)/Datos!BD30),((NºAsuntos!G30/NºAsuntos!E30)-Datos!BD30)/Datos!BD30," - ")</f>
        <v>-0.10588578631229008</v>
      </c>
      <c r="I30" s="1154">
        <f>IF(ISNUMBER(((NºAsuntos!I30/NºAsuntos!G30)-Datos!BE30)/Datos!BE30),((NºAsuntos!I30/NºAsuntos!G30)-Datos!BE30)/Datos!BE30," - ")</f>
        <v>0.22918162853527588</v>
      </c>
      <c r="J30" s="1154">
        <f>IF(ISNUMBER((('Resol  Asuntos'!D30/NºAsuntos!G30)-Datos!BF30)/Datos!BF30),(('Resol  Asuntos'!D30/NºAsuntos!G30)-Datos!BF30)/Datos!BF30," - ")</f>
        <v>-0.13422859207515356</v>
      </c>
      <c r="K30" s="1154">
        <f>IF(ISNUMBER((((NºAsuntos!C30+NºAsuntos!E30)/NºAsuntos!G30)-Datos!BG30)/Datos!BG30),(((NºAsuntos!C30+NºAsuntos!E30)/NºAsuntos!G30)-Datos!BG30)/Datos!BG30," - ")</f>
        <v>6.8582255089760638E-2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4.1547810988465834E-2</v>
      </c>
      <c r="C31" s="1092">
        <f>IF(ISNUMBER(
   IF(J_V="SI",(Datos!J31-Datos!T31)/Datos!T31,(Datos!J31+Datos!Z31-(Datos!T31+Datos!AH31))/(Datos!T31+Datos!AH31))
     ),IF(J_V="SI",(Datos!J31-Datos!T31)/Datos!T31,(Datos!J31+Datos!Z31-(Datos!T31+Datos!AH31))/(Datos!T31+Datos!AH31))," - ")</f>
        <v>0.19949780288763339</v>
      </c>
      <c r="D31" s="1092">
        <f>IF(ISNUMBER(
   IF(J_V="SI",(Datos!K31-Datos!U31)/Datos!U31,(Datos!K31+Datos!AA31-(Datos!U31+Datos!AI31))/(Datos!U31+Datos!AI31))
     ),IF(J_V="SI",(Datos!K31-Datos!U31)/Datos!U31,(Datos!K31+Datos!AA31-(Datos!U31+Datos!AI31))/(Datos!U31+Datos!AI31))," - ")</f>
        <v>0.15766432756067728</v>
      </c>
      <c r="E31" s="1092">
        <f>IF(ISNUMBER(
   IF(J_V="SI",(Datos!L31-Datos!V31)/Datos!V31,(Datos!L31+Datos!AB31-(Datos!V31+Datos!AJ31))/(Datos!V31+Datos!AJ31))
     ),IF(J_V="SI",(Datos!L31-Datos!V31)/Datos!V31,(Datos!L31+Datos!AB31-(Datos!V31+Datos!AJ31))/(Datos!V31+Datos!AJ31))," - ")</f>
        <v>6.0014289116456301E-2</v>
      </c>
      <c r="F31" s="1093">
        <f>IF(ISNUMBER((Datos!M31-Datos!W31)/Datos!W31),(Datos!M31-Datos!W31)/Datos!W31," - ")</f>
        <v>0.16129968088192631</v>
      </c>
      <c r="G31" s="1094">
        <f>IF(ISNUMBER((Datos!N31-Datos!X31)/Datos!X31),(Datos!N31-Datos!X31)/Datos!X31," - ")</f>
        <v>0.26699350735391547</v>
      </c>
      <c r="H31" s="1095">
        <f>IF(ISNUMBER((Tasas!B31-Datos!BD31)/Datos!BD31),(Tasas!B31-Datos!BD31)/Datos!BD31," - ")</f>
        <v>-3.487582488792193E-2</v>
      </c>
      <c r="I31" s="1096">
        <f>IF(ISNUMBER((Tasas!C31-Datos!BE31)/Datos!BE31),(Tasas!C31-Datos!BE31)/Datos!BE31," - ")</f>
        <v>-8.4350909084311185E-2</v>
      </c>
      <c r="J31" s="1097">
        <f>IF(ISNUMBER((Tasas!D31-Datos!BF31)/Datos!BF31),(Tasas!D31-Datos!BF31)/Datos!BF31," - ")</f>
        <v>-0.24666134301815734</v>
      </c>
      <c r="K31" s="1097">
        <f>IF(ISNUMBER((Tasas!E31-Datos!BG31)/Datos!BG31),(Tasas!E31-Datos!BG31)/Datos!BG31," - ")</f>
        <v>-9.7149252412131164E-3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DQh4VM0J2wyV2nzE5ITj5ugWWdGsjl148a2lBm8j3JTAlM29ImgrCYwY4Sgu6DwpcnVcOeHtbC4AusnOSJ7jA==" saltValue="LfnNEvcMHuSw808UJhef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PUERTO DEL ROSARIO</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1.117117117117117</v>
      </c>
      <c r="C10" s="498">
        <f>IF(ISNUMBER(NºAsuntos!I10/NºAsuntos!G10),NºAsuntos!I10/NºAsuntos!G10," - ")</f>
        <v>0.37096774193548387</v>
      </c>
      <c r="D10" s="499">
        <f>IF(ISNUMBER('Resol  Asuntos'!D10/NºAsuntos!G10),'Resol  Asuntos'!D10/NºAsuntos!G10," - ")</f>
        <v>0.36290322580645162</v>
      </c>
      <c r="E10" s="500">
        <f>IF(ISNUMBER((NºAsuntos!C10+NºAsuntos!E10)/NºAsuntos!G10),(NºAsuntos!C10+NºAsuntos!E10)/NºAsuntos!G10," - ")</f>
        <v>1.3629032258064515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0.93756762605496646</v>
      </c>
      <c r="C12" s="498">
        <f>IF(ISNUMBER(NºAsuntos!I12/NºAsuntos!G12),NºAsuntos!I12/NºAsuntos!G12," - ")</f>
        <v>0.72821696480092324</v>
      </c>
      <c r="D12" s="499">
        <f>IF(ISNUMBER('Resol  Asuntos'!D12/NºAsuntos!G12),'Resol  Asuntos'!D12/NºAsuntos!G12," - ")</f>
        <v>0.21454125793421813</v>
      </c>
      <c r="E12" s="500">
        <f>IF(ISNUMBER((NºAsuntos!C12+NºAsuntos!E12)/NºAsuntos!G12),(NºAsuntos!C12+NºAsuntos!E12)/NºAsuntos!G12," - ")</f>
        <v>1.7499134448932487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0.93969849246231152</v>
      </c>
      <c r="C14" s="1156">
        <f>IF(ISNUMBER(NºAsuntos!I14/NºAsuntos!G14),NºAsuntos!I14/NºAsuntos!G14," - ")</f>
        <v>0.72317669814540908</v>
      </c>
      <c r="D14" s="1157">
        <f>IF(ISNUMBER('Resol  Asuntos'!D14/NºAsuntos!G14),'Resol  Asuntos'!D14/NºAsuntos!G14," - ")</f>
        <v>0.21663442940038685</v>
      </c>
      <c r="E14" s="1158">
        <f>IF(ISNUMBER((NºAsuntos!C14+NºAsuntos!E14)/NºAsuntos!G14),(NºAsuntos!C14+NºAsuntos!E14)/NºAsuntos!G14," - ")</f>
        <v>1.7444532938900899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0.93083819553152125</v>
      </c>
      <c r="C17" s="498">
        <f>IF(ISNUMBER(NºAsuntos!I17/NºAsuntos!G17),NºAsuntos!I17/NºAsuntos!G17," - ")</f>
        <v>0.29720226265097077</v>
      </c>
      <c r="D17" s="499">
        <f>IF(ISNUMBER('Resol  Asuntos'!D17/NºAsuntos!G17),'Resol  Asuntos'!D17/NºAsuntos!G17," - ")</f>
        <v>0.15502216786424095</v>
      </c>
      <c r="E17" s="500">
        <f>IF(ISNUMBER((NºAsuntos!C17+NºAsuntos!E17)/NºAsuntos!G17),(NºAsuntos!C17+NºAsuntos!E17)/NºAsuntos!G17," - ")</f>
        <v>1.3820516740559547</v>
      </c>
      <c r="G17" s="523"/>
    </row>
    <row r="18" spans="1:7">
      <c r="A18" s="450" t="str">
        <f>Datos!A18</f>
        <v>Jdos. Violencia contra la mujer</v>
      </c>
      <c r="B18" s="497">
        <f>IF(ISNUMBER(NºAsuntos!G18/NºAsuntos!E18),NºAsuntos!G18/NºAsuntos!E18," - ")</f>
        <v>1.0101137800252844</v>
      </c>
      <c r="C18" s="498">
        <f>IF(ISNUMBER(NºAsuntos!I18/NºAsuntos!G18),NºAsuntos!I18/NºAsuntos!G18," - ")</f>
        <v>8.7609511889862324E-2</v>
      </c>
      <c r="D18" s="499">
        <f>IF(ISNUMBER('Resol  Asuntos'!D18/NºAsuntos!G18),'Resol  Asuntos'!D18/NºAsuntos!G18," - ")</f>
        <v>0.2490613266583229</v>
      </c>
      <c r="E18" s="500">
        <f>IF(ISNUMBER((NºAsuntos!C18+NºAsuntos!E18)/NºAsuntos!G18),(NºAsuntos!C18+NºAsuntos!E18)/NºAsuntos!G18," - ")</f>
        <v>1.062578222778473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1.1924198250728864</v>
      </c>
      <c r="C21" s="498">
        <f>IF(ISNUMBER(NºAsuntos!I21/NºAsuntos!G21),NºAsuntos!I21/NºAsuntos!G21," - ")</f>
        <v>0.49388753056234719</v>
      </c>
      <c r="D21" s="499">
        <f>IF(ISNUMBER('Resol  Asuntos'!D21/NºAsuntos!G21),'Resol  Asuntos'!D21/NºAsuntos!G21," - ")</f>
        <v>0.92909535452322733</v>
      </c>
      <c r="E21" s="500">
        <f>IF(ISNUMBER((NºAsuntos!C21+NºAsuntos!E21)/NºAsuntos!G21),(NºAsuntos!C21+NºAsuntos!E21)/NºAsuntos!G21," - ")</f>
        <v>1.0953545232273838</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0.94951599068741577</v>
      </c>
      <c r="C23" s="1156">
        <f>IF(ISNUMBER(NºAsuntos!I23/NºAsuntos!G23),NºAsuntos!I23/NºAsuntos!G23," - ")</f>
        <v>0.28597238353335913</v>
      </c>
      <c r="D23" s="1159">
        <f>IF(ISNUMBER('Resol  Asuntos'!D23/NºAsuntos!G23),'Resol  Asuntos'!D23/NºAsuntos!G23," - ")</f>
        <v>0.20557491289198607</v>
      </c>
      <c r="E23" s="1158">
        <f>IF(ISNUMBER((NºAsuntos!C23+NºAsuntos!E23)/NºAsuntos!G23),(NºAsuntos!C23+NºAsuntos!E23)/NºAsuntos!G23," - ")</f>
        <v>1.3339785778810169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0.90589711417816809</v>
      </c>
      <c r="C28" s="498">
        <f>IF(ISNUMBER(NºAsuntos!I28/NºAsuntos!G28),NºAsuntos!I28/NºAsuntos!G28," - ")</f>
        <v>0.22853185595567868</v>
      </c>
      <c r="D28" s="499">
        <f>IF(ISNUMBER('Resol  Asuntos'!D28/NºAsuntos!G28),'Resol  Asuntos'!D28/NºAsuntos!G28," - ")</f>
        <v>0.35041551246537395</v>
      </c>
      <c r="E28" s="500">
        <f>IF(ISNUMBER((NºAsuntos!C28+NºAsuntos!E28)/NºAsuntos!G28),(NºAsuntos!C28+NºAsuntos!E28)/NºAsuntos!G28," - ")</f>
        <v>1.2721606648199446</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0.90589711417816809</v>
      </c>
      <c r="C30" s="1156">
        <f>IF(ISNUMBER(NºAsuntos!I30/NºAsuntos!G30),NºAsuntos!I30/NºAsuntos!G30," - ")</f>
        <v>0.22853185595567868</v>
      </c>
      <c r="D30" s="1159">
        <f>IF(ISNUMBER('Resol  Asuntos'!D30/NºAsuntos!G30),'Resol  Asuntos'!D30/NºAsuntos!G30," - ")</f>
        <v>0.35041551246537395</v>
      </c>
      <c r="E30" s="1158">
        <f>IF(ISNUMBER((NºAsuntos!C30+NºAsuntos!E30)/NºAsuntos!G30),(NºAsuntos!C30+NºAsuntos!E30)/NºAsuntos!G30," - ")</f>
        <v>1.2721606648199446</v>
      </c>
      <c r="G30" s="523"/>
    </row>
    <row r="31" spans="1:7" ht="15.75" customHeight="1" thickTop="1" thickBot="1">
      <c r="A31" s="1083" t="str">
        <f>Datos!A31</f>
        <v>TOTAL JURISDICCIONES</v>
      </c>
      <c r="B31" s="1098">
        <f>IF(ISNUMBER(NºAsuntos!G31/NºAsuntos!E31),NºAsuntos!G31/NºAsuntos!E31," - ")</f>
        <v>0.94107180238643495</v>
      </c>
      <c r="C31" s="1099">
        <f>IF(ISNUMBER(NºAsuntos!I31/NºAsuntos!G31),NºAsuntos!I31/NºAsuntos!G31," - ")</f>
        <v>0.49505060616171725</v>
      </c>
      <c r="D31" s="1100">
        <f>IF(ISNUMBER('Resol  Asuntos'!D31/NºAsuntos!G31),'Resol  Asuntos'!D31/NºAsuntos!G31," - ")</f>
        <v>0.22261150038927816</v>
      </c>
      <c r="E31" s="1101">
        <f>IF(ISNUMBER((NºAsuntos!C31+NºAsuntos!E31)/NºAsuntos!G31),(NºAsuntos!C31+NºAsuntos!E31)/NºAsuntos!G31," - ")</f>
        <v>1.529640751862974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dJWkP9OTZqbDTPZ3X6NlbA5CkGofmWu+Vv+UaddZ/jts7SF+xg+hH3gidnnhuWG24fyqKTzQrrpacEHgm7e6w==" saltValue="QAwBXB6ueYft9W7UHkL2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PUERTO DEL ROSARIO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315</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59</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124</v>
      </c>
      <c r="X10" s="240">
        <f>IF(ISNUMBER(Datos!Q10),Datos!Q10," - ")</f>
        <v>4</v>
      </c>
      <c r="Y10" s="374">
        <f t="shared" ref="Y10:Y13" si="0">SUM(W10:X10)</f>
        <v>128</v>
      </c>
      <c r="Z10" s="375" t="str">
        <f>IF(ISNUMBER(Datos!CC10),Datos!CC10," - ")</f>
        <v xml:space="preserve"> - </v>
      </c>
      <c r="AA10" s="372">
        <f>IF(ISNUMBER(Datos!L10),Datos!L10,"-")</f>
        <v>46</v>
      </c>
      <c r="AB10" s="374">
        <f>IF(ISNUMBER(Datos!R10),Datos!R10," - ")</f>
        <v>18</v>
      </c>
      <c r="AC10" s="374">
        <f t="shared" ref="AC10:AC13" si="1">IF(ISNUMBER(AA10+AB10),AA10+AB10," - ")</f>
        <v>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45</v>
      </c>
      <c r="AJ10" s="245" t="str">
        <f>IF(ISNUMBER(Datos!BW10),Datos!BW10," - ")</f>
        <v xml:space="preserve"> - </v>
      </c>
      <c r="AK10" s="246" t="str">
        <f>IF(ISNUMBER(Datos!BX10),Datos!BX10," - ")</f>
        <v xml:space="preserve"> - </v>
      </c>
      <c r="AL10" s="266">
        <f>IF(ISNUMBER(NºAsuntos!G10/NºAsuntos!E10),NºAsuntos!G10/NºAsuntos!E10," - ")</f>
        <v>1.117117117117117</v>
      </c>
      <c r="AM10" s="284">
        <f>IF(ISNUMBER(((NºAsuntos!I10/NºAsuntos!G10)*11)/factor_trimestre),((NºAsuntos!I10/NºAsuntos!G10)*11)/factor_trimestre," - ")</f>
        <v>4.080645161290323</v>
      </c>
      <c r="AN10" s="267">
        <f>IF(ISNUMBER('Resol  Asuntos'!D10/NºAsuntos!G10),'Resol  Asuntos'!D10/NºAsuntos!G10," - ")</f>
        <v>0.36290322580645162</v>
      </c>
      <c r="AO10" s="268">
        <f>IF(ISNUMBER((NºAsuntos!C10+NºAsuntos!E10)/NºAsuntos!G10),(NºAsuntos!C10+NºAsuntos!E10)/NºAsuntos!G10," - ")</f>
        <v>1.3629032258064515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315</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998</v>
      </c>
      <c r="Y12" s="374">
        <f t="shared" si="0"/>
        <v>998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1859</v>
      </c>
      <c r="AJ12" s="243" t="str">
        <f>IF(ISNUMBER(Datos!BW12),Datos!BW12," - ")</f>
        <v xml:space="preserve"> - </v>
      </c>
      <c r="AK12" s="242" t="str">
        <f>IF(ISNUMBER(Datos!BX12),Datos!BX12," - ")</f>
        <v xml:space="preserve"> - </v>
      </c>
      <c r="AL12" s="266">
        <f>IF(ISNUMBER(NºAsuntos!G12/NºAsuntos!E12),NºAsuntos!G12/NºAsuntos!E12," - ")</f>
        <v>0.93756762605496646</v>
      </c>
      <c r="AM12" s="284">
        <f>IF(ISNUMBER(((NºAsuntos!I12/NºAsuntos!G12)*11)/factor_trimestre),((NºAsuntos!I12/NºAsuntos!G12)*11)/factor_trimestre," - ")</f>
        <v>8.0103866128101551</v>
      </c>
      <c r="AN12" s="267">
        <f>IF(ISNUMBER('Resol  Asuntos'!D12/NºAsuntos!G12),'Resol  Asuntos'!D12/NºAsuntos!G12," - ")</f>
        <v>0.21454125793421813</v>
      </c>
      <c r="AO12" s="268">
        <f>IF(ISNUMBER((NºAsuntos!C12+NºAsuntos!E12)/NºAsuntos!G12),(NºAsuntos!C12+NºAsuntos!E12)/NºAsuntos!G12," - ")</f>
        <v>1.7499134448932487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59</v>
      </c>
      <c r="G14" s="1163">
        <f t="shared" si="5"/>
        <v>58</v>
      </c>
      <c r="H14" s="1162">
        <f t="shared" si="5"/>
        <v>0</v>
      </c>
      <c r="I14" s="1164">
        <f t="shared" si="5"/>
        <v>0</v>
      </c>
      <c r="J14" s="1164">
        <f t="shared" si="5"/>
        <v>0</v>
      </c>
      <c r="K14" s="1164">
        <f t="shared" si="5"/>
        <v>0</v>
      </c>
      <c r="L14" s="1164">
        <f t="shared" si="5"/>
        <v>1142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124</v>
      </c>
      <c r="X14" s="1164">
        <f t="shared" si="6"/>
        <v>1002</v>
      </c>
      <c r="Y14" s="1165">
        <f t="shared" si="6"/>
        <v>1126</v>
      </c>
      <c r="Z14" s="1165">
        <f t="shared" si="6"/>
        <v>0</v>
      </c>
      <c r="AA14" s="1165">
        <f t="shared" si="6"/>
        <v>46</v>
      </c>
      <c r="AB14" s="1165">
        <f t="shared" si="6"/>
        <v>6238</v>
      </c>
      <c r="AC14" s="1165">
        <f t="shared" si="6"/>
        <v>64</v>
      </c>
      <c r="AD14" s="1165">
        <f t="shared" si="6"/>
        <v>0</v>
      </c>
      <c r="AE14" s="1169">
        <f t="shared" si="6"/>
        <v>0</v>
      </c>
      <c r="AF14" s="1162">
        <f t="shared" si="6"/>
        <v>0</v>
      </c>
      <c r="AG14" s="1170">
        <f t="shared" si="6"/>
        <v>0</v>
      </c>
      <c r="AH14" s="1167">
        <f t="shared" si="6"/>
        <v>0</v>
      </c>
      <c r="AI14" s="1162">
        <f t="shared" si="6"/>
        <v>1904</v>
      </c>
      <c r="AJ14" s="1164">
        <f t="shared" si="6"/>
        <v>0</v>
      </c>
      <c r="AK14" s="1167">
        <f>SUBTOTAL(9,AK9:AK13)</f>
        <v>0</v>
      </c>
      <c r="AL14" s="1171">
        <f>IF(ISNUMBER(NºAsuntos!G14/NºAsuntos!E14),NºAsuntos!G14/NºAsuntos!E14," - ")</f>
        <v>0.93969849246231152</v>
      </c>
      <c r="AM14" s="1171">
        <f>IF(ISNUMBER(((NºAsuntos!I14/NºAsuntos!G14)*11)/factor_trimestre),((NºAsuntos!I14/NºAsuntos!G14)*11)/factor_trimestre," - ")</f>
        <v>7.9549436795995003</v>
      </c>
      <c r="AN14" s="1172">
        <f>IF(ISNUMBER('Resol  Asuntos'!D14/NºAsuntos!G14),'Resol  Asuntos'!D14/NºAsuntos!G14," - ")</f>
        <v>0.21663442940038685</v>
      </c>
      <c r="AO14" s="1173">
        <f>IF(ISNUMBER((NºAsuntos!C14+NºAsuntos!E14)/NºAsuntos!G14),(NºAsuntos!C14+NºAsuntos!E14)/NºAsuntos!G14," - ")</f>
        <v>1.7444532938900899</v>
      </c>
      <c r="AP14" s="1174" t="str">
        <f t="shared" si="2"/>
        <v xml:space="preserve"> - </v>
      </c>
      <c r="AQ14" s="1174">
        <f>IF(ISNUMBER((H14-W14+K14)/(F14)),(H14-W14+K14)/(F14)," - ")</f>
        <v>-2.1016949152542375</v>
      </c>
      <c r="AR14" s="1175">
        <f>IF(ISNUMBER((Datos!P14-Datos!Q14)/(Datos!R14-Datos!P14+Datos!Q14)),(Datos!P14-Datos!Q14)/(Datos!R14-Datos!P14+Datos!Q14)," - ")</f>
        <v>2.2958346999016072E-2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504</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504</v>
      </c>
      <c r="C17" s="173" t="str">
        <f>Datos!A17</f>
        <v xml:space="preserve">Jdos. 1ª Instª. e Instr.                        </v>
      </c>
      <c r="D17" s="173"/>
      <c r="E17" s="1402">
        <f>IF(ISNUMBER(Datos!AQ17),Datos!AQ17," - ")</f>
        <v>7</v>
      </c>
      <c r="F17" s="239">
        <f>IF(ISNUMBER(AA17+W17-Datos!J17-K17),AA17+W17-Datos!J17-K17," - ")</f>
        <v>1458</v>
      </c>
      <c r="G17" s="373">
        <f>IF(ISNUMBER(IF(D_I="SI",Datos!I17,Datos!I17+Datos!AC17)),IF(D_I="SI",Datos!I17,Datos!I17+Datos!AC17)," - ")</f>
        <v>2013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6541</v>
      </c>
      <c r="X17" s="240">
        <f>IF(ISNUMBER(Datos!Q17),Datos!Q17," - ")</f>
        <v>258</v>
      </c>
      <c r="Y17" s="374">
        <f t="shared" ref="Y17:Y22" si="9">SUM(W17:X17)</f>
        <v>6799</v>
      </c>
      <c r="Z17" s="375" t="str">
        <f>IF(ISNUMBER(Datos!CC17),Datos!CC17," - ")</f>
        <v xml:space="preserve"> - </v>
      </c>
      <c r="AA17" s="372">
        <f>IF(ISNUMBER(IF(D_I="SI",Datos!L17,Datos!L17+Datos!AF17)),IF(D_I="SI",Datos!L17,Datos!L17+Datos!AF17)," - ")</f>
        <v>1944</v>
      </c>
      <c r="AB17" s="374">
        <f>IF(ISNUMBER(Datos!R17),Datos!R17," - ")</f>
        <v>430</v>
      </c>
      <c r="AC17" s="374">
        <f t="shared" si="8"/>
        <v>2374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1014</v>
      </c>
      <c r="AJ17" s="245" t="str">
        <f>IF(ISNUMBER(Datos!BW17),Datos!BW17," - ")</f>
        <v xml:space="preserve"> - </v>
      </c>
      <c r="AK17" s="246" t="str">
        <f>IF(ISNUMBER(Datos!BX17),Datos!BX17," - ")</f>
        <v xml:space="preserve"> - </v>
      </c>
      <c r="AL17" s="266">
        <f>IF(ISNUMBER(NºAsuntos!G17/NºAsuntos!E17),NºAsuntos!G17/NºAsuntos!E17," - ")</f>
        <v>0.93083819553152125</v>
      </c>
      <c r="AM17" s="284">
        <f>IF(ISNUMBER(((NºAsuntos!I17/NºAsuntos!G17)*11)/factor_trimestre),((NºAsuntos!I17/NºAsuntos!G17)*11)/factor_trimestre," - ")</f>
        <v>3.2692248891606783</v>
      </c>
      <c r="AN17" s="267">
        <f>IF(ISNUMBER('Resol  Asuntos'!D17/NºAsuntos!G17),'Resol  Asuntos'!D17/NºAsuntos!G17," - ")</f>
        <v>0.15502216786424095</v>
      </c>
      <c r="AO17" s="268">
        <f>IF(ISNUMBER((NºAsuntos!C17+NºAsuntos!E17)/NºAsuntos!G17),(NºAsuntos!C17+NºAsuntos!E17)/NºAsuntos!G17," - ")</f>
        <v>1.3820516740559547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799</v>
      </c>
      <c r="X18" s="240">
        <f>IF(ISNUMBER(Datos!Q18),Datos!Q18," - ")</f>
        <v>44</v>
      </c>
      <c r="Y18" s="374">
        <f t="shared" si="9"/>
        <v>843</v>
      </c>
      <c r="Z18" s="375" t="str">
        <f>IF(ISNUMBER(Datos!CC18),Datos!CC18," - ")</f>
        <v xml:space="preserve"> - </v>
      </c>
      <c r="AA18" s="372">
        <f>IF(ISNUMBER(Datos!L18),Datos!L18,"-")</f>
        <v>70</v>
      </c>
      <c r="AB18" s="374">
        <f>IF(ISNUMBER(Datos!R18),Datos!R18," - ")</f>
        <v>18</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199</v>
      </c>
      <c r="AJ18" s="245" t="str">
        <f>IF(ISNUMBER(Datos!BW18),Datos!BW18," - ")</f>
        <v xml:space="preserve"> - </v>
      </c>
      <c r="AK18" s="246" t="str">
        <f>IF(ISNUMBER(Datos!BX18),Datos!BX18," - ")</f>
        <v xml:space="preserve"> - </v>
      </c>
      <c r="AL18" s="266">
        <f>IF(ISNUMBER(NºAsuntos!G18/NºAsuntos!E18),NºAsuntos!G18/NºAsuntos!E18," - ")</f>
        <v>1.0101137800252844</v>
      </c>
      <c r="AM18" s="284">
        <f>IF(ISNUMBER(((NºAsuntos!I18/NºAsuntos!G18)*11)/factor_trimestre),((NºAsuntos!I18/NºAsuntos!G18)*11)/factor_trimestre," - ")</f>
        <v>0.96370463078848556</v>
      </c>
      <c r="AN18" s="267">
        <f>IF(ISNUMBER('Resol  Asuntos'!D18/NºAsuntos!G18),'Resol  Asuntos'!D18/NºAsuntos!G18," - ")</f>
        <v>0.2490613266583229</v>
      </c>
      <c r="AO18" s="268">
        <f>IF(ISNUMBER((NºAsuntos!C18+NºAsuntos!E18)/NºAsuntos!G18),(NºAsuntos!C18+NºAsuntos!E18)/NºAsuntos!G18," - ")</f>
        <v>1.062578222778473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504</v>
      </c>
      <c r="C21" s="7" t="str">
        <f>Datos!A21</f>
        <v xml:space="preserve">Jdos. de lo Penal                               </v>
      </c>
      <c r="D21" s="7"/>
      <c r="E21" s="1402">
        <f>IF(ISNUMBER(Datos!AQ21),Datos!AQ21," - ")</f>
        <v>1</v>
      </c>
      <c r="F21" s="239">
        <f>IF(ISNUMBER(Datos!L21+Datos!K21-Datos!J21-K21),Datos!L21+Datos!K21-Datos!J21-K21," - ")</f>
        <v>268</v>
      </c>
      <c r="G21" s="373">
        <f>IF(ISNUMBER(Datos!I21),Datos!I21," - ")</f>
        <v>105</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829</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409</v>
      </c>
      <c r="X21" s="240">
        <f>IF(ISNUMBER(Datos!Q21),Datos!Q21," - ")</f>
        <v>1477</v>
      </c>
      <c r="Y21" s="374">
        <f t="shared" si="9"/>
        <v>1886</v>
      </c>
      <c r="Z21" s="375" t="str">
        <f>IF(ISNUMBER(Datos!CC21),Datos!CC21," - ")</f>
        <v xml:space="preserve"> - </v>
      </c>
      <c r="AA21" s="372">
        <f>IF(ISNUMBER(Datos!L21),Datos!L21,"-")</f>
        <v>202</v>
      </c>
      <c r="AB21" s="374">
        <f>IF(ISNUMBER(Datos!R21),Datos!R21," - ")</f>
        <v>1164</v>
      </c>
      <c r="AC21" s="374">
        <f t="shared" si="8"/>
        <v>1366</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380</v>
      </c>
      <c r="AJ21" s="245" t="str">
        <f>IF(ISNUMBER(Datos!BW21),Datos!BW21," - ")</f>
        <v xml:space="preserve"> - </v>
      </c>
      <c r="AK21" s="246" t="str">
        <f>IF(ISNUMBER(Datos!BX21),Datos!BX21," - ")</f>
        <v xml:space="preserve"> - </v>
      </c>
      <c r="AL21" s="266">
        <f>IF(ISNUMBER(NºAsuntos!G21/NºAsuntos!E21),NºAsuntos!G21/NºAsuntos!E21," - ")</f>
        <v>1.1924198250728864</v>
      </c>
      <c r="AM21" s="284">
        <f>IF(ISNUMBER(((NºAsuntos!I21/NºAsuntos!G21)*11)/factor_trimestre),((NºAsuntos!I21/NºAsuntos!G21)*11)/factor_trimestre," - ")</f>
        <v>5.4327628361858187</v>
      </c>
      <c r="AN21" s="267">
        <f>IF(ISNUMBER('Resol  Asuntos'!D21/NºAsuntos!G21),'Resol  Asuntos'!D21/NºAsuntos!G21," - ")</f>
        <v>0.92909535452322733</v>
      </c>
      <c r="AO21" s="268">
        <f>IF(ISNUMBER((NºAsuntos!C21+NºAsuntos!E21)/NºAsuntos!G21),(NºAsuntos!C21+NºAsuntos!E21)/NºAsuntos!G21," - ")</f>
        <v>1.0953545232273838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1726</v>
      </c>
      <c r="G23" s="1163">
        <f>SUBTOTAL(9,G16:G22)</f>
        <v>2176</v>
      </c>
      <c r="H23" s="1162">
        <f t="shared" ref="H23:O23" si="13">SUBTOTAL(9,H15:H22)</f>
        <v>0</v>
      </c>
      <c r="I23" s="1164">
        <f t="shared" si="13"/>
        <v>0</v>
      </c>
      <c r="J23" s="1164">
        <f t="shared" si="13"/>
        <v>0</v>
      </c>
      <c r="K23" s="1164">
        <f t="shared" si="13"/>
        <v>0</v>
      </c>
      <c r="L23" s="1164">
        <f t="shared" si="13"/>
        <v>1056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7749</v>
      </c>
      <c r="X23" s="1164">
        <f t="shared" si="14"/>
        <v>1779</v>
      </c>
      <c r="Y23" s="1165">
        <f t="shared" si="14"/>
        <v>9528</v>
      </c>
      <c r="Z23" s="1165">
        <f t="shared" si="14"/>
        <v>0</v>
      </c>
      <c r="AA23" s="1165">
        <f t="shared" si="14"/>
        <v>2216</v>
      </c>
      <c r="AB23" s="1165">
        <f t="shared" si="14"/>
        <v>1612</v>
      </c>
      <c r="AC23" s="1165">
        <f t="shared" si="14"/>
        <v>3828</v>
      </c>
      <c r="AD23" s="1165">
        <f t="shared" si="14"/>
        <v>0</v>
      </c>
      <c r="AE23" s="1169">
        <f t="shared" si="14"/>
        <v>0</v>
      </c>
      <c r="AF23" s="1162">
        <f t="shared" si="14"/>
        <v>0</v>
      </c>
      <c r="AG23" s="1170">
        <f t="shared" si="14"/>
        <v>0</v>
      </c>
      <c r="AH23" s="1167">
        <f t="shared" si="14"/>
        <v>0</v>
      </c>
      <c r="AI23" s="1162">
        <f t="shared" si="14"/>
        <v>1593</v>
      </c>
      <c r="AJ23" s="1164">
        <f t="shared" si="14"/>
        <v>0</v>
      </c>
      <c r="AK23" s="1167">
        <f t="shared" si="14"/>
        <v>0</v>
      </c>
      <c r="AL23" s="1171">
        <f>IF(ISNUMBER(NºAsuntos!G23/NºAsuntos!E23),NºAsuntos!G23/NºAsuntos!E23," - ")</f>
        <v>0.94951599068741577</v>
      </c>
      <c r="AM23" s="1171">
        <f>IF(ISNUMBER(((NºAsuntos!I23/NºAsuntos!G23)*11)/factor_trimestre),((NºAsuntos!I23/NºAsuntos!G23)*11)/factor_trimestre," - ")</f>
        <v>3.1456962188669504</v>
      </c>
      <c r="AN23" s="1172">
        <f>IF(ISNUMBER('Resol  Asuntos'!D23/NºAsuntos!G23),'Resol  Asuntos'!D23/NºAsuntos!G23," - ")</f>
        <v>0.20557491289198607</v>
      </c>
      <c r="AO23" s="1173">
        <f>IF(ISNUMBER((NºAsuntos!C23+NºAsuntos!E23)/NºAsuntos!G23),(NºAsuntos!C23+NºAsuntos!E23)/NºAsuntos!G23," - ")</f>
        <v>1.3339785778810169</v>
      </c>
      <c r="AP23" s="1174" t="str">
        <f t="shared" si="2"/>
        <v xml:space="preserve"> - </v>
      </c>
      <c r="AQ23" s="1174">
        <f>IF(ISNUMBER((H23-W23+K23)/(F23)),(H23-W23+K23)/(F23)," - ")</f>
        <v>-4.4895712630359208</v>
      </c>
      <c r="AR23" s="1175">
        <f>IF(ISNUMBER((Datos!P23-Datos!Q23)/(Datos!R23-Datos!P23+Datos!Q23)),(Datos!P23-Datos!Q23)/(Datos!R23-Datos!P23+Datos!Q23)," - ")</f>
        <v>-0.30963597430406853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2</v>
      </c>
      <c r="B28" s="300" t="s">
        <v>506</v>
      </c>
      <c r="C28" s="7" t="str">
        <f>Datos!A28</f>
        <v xml:space="preserve">Jdos. de lo Social                              </v>
      </c>
      <c r="D28" s="7"/>
      <c r="E28" s="1402">
        <f>IF(ISNUMBER(Datos!AQ28),Datos!AQ28," - ")</f>
        <v>2</v>
      </c>
      <c r="F28" s="239">
        <f>IF(ISNUMBER(Datos!L28+Datos!K28-Datos!J28-K28),Datos!L28+Datos!K28-Datos!J28-K28," - ")</f>
        <v>180</v>
      </c>
      <c r="G28" s="373">
        <f>IF(ISNUMBER(Datos!I28),Datos!I28," - ")</f>
        <v>243</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337</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1444</v>
      </c>
      <c r="X28" s="240">
        <f>IF(ISNUMBER(Datos!Q28),Datos!Q28," - ")</f>
        <v>364</v>
      </c>
      <c r="Y28" s="374">
        <f>SUM(W28:X28)</f>
        <v>1808</v>
      </c>
      <c r="Z28" s="375" t="str">
        <f>IF(ISNUMBER(Datos!CC28),Datos!CC28," - ")</f>
        <v xml:space="preserve"> - </v>
      </c>
      <c r="AA28" s="372">
        <f>IF(ISNUMBER(Datos!L28),Datos!L28,"-")</f>
        <v>330</v>
      </c>
      <c r="AB28" s="374">
        <f>IF(ISNUMBER(Datos!R28),Datos!R28," - ")</f>
        <v>155</v>
      </c>
      <c r="AC28" s="374">
        <f>IF(ISNUMBER(AA28+AB28),AA28+AB28," - ")</f>
        <v>485</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506</v>
      </c>
      <c r="AJ28" s="245" t="str">
        <f>IF(ISNUMBER(Datos!BW28),Datos!BW28," - ")</f>
        <v xml:space="preserve"> - </v>
      </c>
      <c r="AK28" s="246" t="str">
        <f>IF(ISNUMBER(Datos!BX28),Datos!BX28," - ")</f>
        <v xml:space="preserve"> - </v>
      </c>
      <c r="AL28" s="266">
        <f>IF(ISNUMBER(NºAsuntos!G28/NºAsuntos!E28),NºAsuntos!G28/NºAsuntos!E28," - ")</f>
        <v>0.90589711417816809</v>
      </c>
      <c r="AM28" s="284">
        <f>IF(ISNUMBER(((NºAsuntos!I28/NºAsuntos!G28)*11)/factor_trimestre),((NºAsuntos!I28/NºAsuntos!G28)*11)/factor_trimestre," - ")</f>
        <v>2.5138504155124655</v>
      </c>
      <c r="AN28" s="267">
        <f>IF(ISNUMBER('Resol  Asuntos'!D28/NºAsuntos!G28),'Resol  Asuntos'!D28/NºAsuntos!G28," - ")</f>
        <v>0.35041551246537395</v>
      </c>
      <c r="AO28" s="268">
        <f>IF(ISNUMBER((NºAsuntos!C28+NºAsuntos!E28)/NºAsuntos!G28),(NºAsuntos!C28+NºAsuntos!E28)/NºAsuntos!G28," - ")</f>
        <v>1.2721606648199446</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2</v>
      </c>
      <c r="F30" s="1162">
        <f>SUBTOTAL(9,F28:F29)</f>
        <v>180</v>
      </c>
      <c r="G30" s="1162">
        <f>SUBTOTAL(9,G28:G29)</f>
        <v>243</v>
      </c>
      <c r="H30" s="1162">
        <f>SUBTOTAL(9,H28:H29)</f>
        <v>0</v>
      </c>
      <c r="I30" s="1167">
        <f>SUBTOTAL(9,I28:I29)</f>
        <v>0</v>
      </c>
      <c r="J30" s="1167">
        <f>SUBTOTAL(9,J28:J29)</f>
        <v>0</v>
      </c>
      <c r="K30" s="1167">
        <f>SUBTOTAL(9,K23:K29)</f>
        <v>0</v>
      </c>
      <c r="L30" s="1167">
        <f>SUBTOTAL(9,L28:L29)</f>
        <v>337</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1444</v>
      </c>
      <c r="X30" s="1164">
        <f t="shared" si="19"/>
        <v>364</v>
      </c>
      <c r="Y30" s="1165">
        <f t="shared" si="19"/>
        <v>1808</v>
      </c>
      <c r="Z30" s="1165">
        <f t="shared" si="19"/>
        <v>0</v>
      </c>
      <c r="AA30" s="1165">
        <f t="shared" si="19"/>
        <v>330</v>
      </c>
      <c r="AB30" s="1165">
        <f t="shared" si="19"/>
        <v>155</v>
      </c>
      <c r="AC30" s="1165">
        <f t="shared" si="19"/>
        <v>485</v>
      </c>
      <c r="AD30" s="1165">
        <f t="shared" si="19"/>
        <v>0</v>
      </c>
      <c r="AE30" s="1169">
        <f t="shared" si="19"/>
        <v>0</v>
      </c>
      <c r="AF30" s="1162">
        <f t="shared" si="19"/>
        <v>0</v>
      </c>
      <c r="AG30" s="1170">
        <f t="shared" si="19"/>
        <v>0</v>
      </c>
      <c r="AH30" s="1167">
        <f t="shared" si="19"/>
        <v>0</v>
      </c>
      <c r="AI30" s="1162">
        <f t="shared" si="19"/>
        <v>506</v>
      </c>
      <c r="AJ30" s="1164">
        <f t="shared" si="19"/>
        <v>0</v>
      </c>
      <c r="AK30" s="1167">
        <f t="shared" si="19"/>
        <v>0</v>
      </c>
      <c r="AL30" s="1171">
        <f>IF(ISNUMBER(NºAsuntos!G30/NºAsuntos!E30),NºAsuntos!G30/NºAsuntos!E30," - ")</f>
        <v>0.90589711417816809</v>
      </c>
      <c r="AM30" s="1171">
        <f>IF(ISNUMBER(((NºAsuntos!I30/NºAsuntos!G30)*11)/factor_trimestre),((NºAsuntos!I30/NºAsuntos!G30)*11)/factor_trimestre," - ")</f>
        <v>2.5138504155124655</v>
      </c>
      <c r="AN30" s="1172">
        <f>IF(ISNUMBER('Resol  Asuntos'!D30/NºAsuntos!G30),'Resol  Asuntos'!D30/NºAsuntos!G30," - ")</f>
        <v>0.35041551246537395</v>
      </c>
      <c r="AO30" s="1173">
        <f>IF(ISNUMBER((NºAsuntos!C30+NºAsuntos!E30)/NºAsuntos!G30),(NºAsuntos!C30+NºAsuntos!E30)/NºAsuntos!G30," - ")</f>
        <v>1.2721606648199446</v>
      </c>
      <c r="AP30" s="1174" t="str">
        <f t="shared" si="2"/>
        <v xml:space="preserve"> - </v>
      </c>
      <c r="AQ30" s="1174">
        <f t="shared" si="18"/>
        <v>-8.0222222222222221</v>
      </c>
      <c r="AR30" s="1175">
        <f>IF(ISNUMBER((Datos!P30-Datos!Q30)/(Datos!R30-Datos!P30+Datos!Q30)),(Datos!P30-Datos!Q30)/(Datos!R30-Datos!P30+Datos!Q30)," - ")</f>
        <v>-0.14835164835164835</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1965</v>
      </c>
      <c r="G31" s="1118">
        <f t="shared" si="20"/>
        <v>2477</v>
      </c>
      <c r="H31" s="1117">
        <f t="shared" si="20"/>
        <v>0</v>
      </c>
      <c r="I31" s="1119">
        <f t="shared" si="20"/>
        <v>0</v>
      </c>
      <c r="J31" s="1119">
        <f t="shared" si="20"/>
        <v>0</v>
      </c>
      <c r="K31" s="1180">
        <f t="shared" si="20"/>
        <v>0</v>
      </c>
      <c r="L31" s="1119">
        <f t="shared" si="20"/>
        <v>2535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9317</v>
      </c>
      <c r="X31" s="1118">
        <f t="shared" si="21"/>
        <v>3145</v>
      </c>
      <c r="Y31" s="1125">
        <f t="shared" si="21"/>
        <v>12462</v>
      </c>
      <c r="Z31" s="1125">
        <f t="shared" si="21"/>
        <v>0</v>
      </c>
      <c r="AA31" s="1125">
        <f t="shared" si="21"/>
        <v>2592</v>
      </c>
      <c r="AB31" s="1125">
        <f t="shared" si="21"/>
        <v>8005</v>
      </c>
      <c r="AC31" s="1125">
        <f t="shared" si="21"/>
        <v>4377</v>
      </c>
      <c r="AD31" s="1125">
        <f t="shared" si="21"/>
        <v>0</v>
      </c>
      <c r="AE31" s="1127">
        <f t="shared" si="21"/>
        <v>0</v>
      </c>
      <c r="AF31" s="1128">
        <f t="shared" si="21"/>
        <v>0</v>
      </c>
      <c r="AG31" s="1129">
        <f t="shared" si="21"/>
        <v>0</v>
      </c>
      <c r="AH31" s="1127">
        <f t="shared" si="21"/>
        <v>0</v>
      </c>
      <c r="AI31" s="1117">
        <f t="shared" si="21"/>
        <v>4003</v>
      </c>
      <c r="AJ31" s="1117">
        <f t="shared" si="21"/>
        <v>0</v>
      </c>
      <c r="AK31" s="1127">
        <f t="shared" si="21"/>
        <v>0</v>
      </c>
      <c r="AL31" s="1183">
        <f>IF(ISNUMBER(NºAsuntos!G31/NºAsuntos!E31),NºAsuntos!G31/NºAsuntos!E31," - ")</f>
        <v>0.94107180238643495</v>
      </c>
      <c r="AM31" s="1184">
        <f>IF(ISNUMBER(((NºAsuntos!I31/NºAsuntos!G31)*11)/factor_trimestre),((NºAsuntos!I31/NºAsuntos!G31)*11)/factor_trimestre," - ")</f>
        <v>5.4455566677788898</v>
      </c>
      <c r="AN31" s="1184">
        <f>IF(ISNUMBER('Resol  Asuntos'!D31/NºAsuntos!G31),'Resol  Asuntos'!D31/NºAsuntos!G31," - ")</f>
        <v>0.22261150038927816</v>
      </c>
      <c r="AO31" s="1185">
        <f>IF(ISNUMBER((NºAsuntos!C31+NºAsuntos!E31)/NºAsuntos!G31),(NºAsuntos!C31+NºAsuntos!E31)/NºAsuntos!G31," - ")</f>
        <v>1.529640751862974</v>
      </c>
      <c r="AP31" s="1186" t="str">
        <f t="shared" si="2"/>
        <v xml:space="preserve"> - </v>
      </c>
      <c r="AQ31" s="1187">
        <f>IF(OR(ISNUMBER(FIND("01",Criterios!A8,1)),ISNUMBER(FIND("02",Criterios!A8,1)),ISNUMBER(FIND("03",Criterios!A8,1)),ISNUMBER(FIND("04",Criterios!A8,1))),(I31-W31+K31)/(F31-K31),(H31-W31+K31)/(F31-K31))</f>
        <v>-4.7414758269720103</v>
      </c>
      <c r="AR31" s="1188">
        <f>IF(ISNUMBER((Datos!P31-Datos!Q31)/(Datos!R31-Datos!P31+Datos!Q31)),(Datos!P31-Datos!Q31)/(Datos!R31-Datos!P31+Datos!Q31)," - ")</f>
        <v>-7.0806732443412651E-2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550.44444444444446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2.9735677667001128</v>
      </c>
      <c r="F33" s="276">
        <f>IF(ISNUMBER(STDEV(F8:F30)),STDEV(F8:F30),"-")</f>
        <v>688.45722971209852</v>
      </c>
      <c r="G33" s="277">
        <f>IF(ISNUMBER(STDEV(G8:G30)),STDEV(G8:G30),"-")</f>
        <v>880.30237860508919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2942.3146972711429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740.52806984085498</v>
      </c>
      <c r="AJ33" s="276">
        <f t="shared" si="25"/>
        <v>0</v>
      </c>
      <c r="AK33" s="278">
        <f t="shared" si="25"/>
        <v>0</v>
      </c>
      <c r="AL33" s="273">
        <f t="shared" si="25"/>
        <v>0.10127529046392857</v>
      </c>
      <c r="AM33" s="274">
        <f t="shared" si="25"/>
        <v>2.456865413735108</v>
      </c>
      <c r="AN33" s="274">
        <f t="shared" si="25"/>
        <v>0.23431109081565368</v>
      </c>
      <c r="AO33" s="275">
        <f t="shared" si="25"/>
        <v>0.24361769031893549</v>
      </c>
      <c r="AP33" s="317" t="str">
        <f t="shared" si="25"/>
        <v>-</v>
      </c>
      <c r="AQ33" s="318">
        <f t="shared" si="25"/>
        <v>2.9786523754960248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q4sshdubVraX6r3VC+ZK4cY5qfC7vIHAbWsawDgKe1ZVEDeC/3bdKNisoG+gIISjhrEYOdpYY4zBuDTAjT+Uw==" saltValue="xfjUqTKsAjziV9RC8wid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PUERTO DEL ROSARIO</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315</v>
      </c>
      <c r="C10" s="7" t="str">
        <f>Datos!A10</f>
        <v>Jdos. Violencia contra la mujer</v>
      </c>
      <c r="D10" s="397">
        <f>IF(ISNUMBER((Datos!I10-Datos!S10)/Datos!S10),(Datos!I10-Datos!S10)/Datos!S10," - ")</f>
        <v>-4.9180327868852458E-2</v>
      </c>
      <c r="E10" s="393">
        <f>IF(ISNUMBER((Datos!J10-Datos!T10)/Datos!T10),(Datos!J10-Datos!T10)/Datos!T10," - ")</f>
        <v>0.44155844155844154</v>
      </c>
      <c r="F10" s="393">
        <f>IF(ISNUMBER((Datos!K10-Datos!U10)/Datos!U10),(Datos!K10-Datos!U10)/Datos!U10," - ")</f>
        <v>0.77142857142857146</v>
      </c>
      <c r="G10" s="394">
        <f>IF(ISNUMBER((Datos!L10-Datos!V10)/Datos!V10),(Datos!L10-Datos!V10)/Datos!V10," - ")</f>
        <v>-0.20689655172413793</v>
      </c>
      <c r="H10" s="244">
        <f>IF(ISNUMBER((Datos!M10-Datos!W10)/Datos!W10),(Datos!M10-Datos!W10)/Datos!W10," - ")</f>
        <v>0.25</v>
      </c>
      <c r="I10" s="395">
        <f>IF(ISNUMBER((Tasas!C10-Datos!BE10)/Datos!BE10),(Tasas!C10-Datos!BE10)/Datos!BE10," - ")</f>
        <v>-0.55228031145717471</v>
      </c>
      <c r="J10" s="394">
        <f>IF(ISNUMBER((Tasas!D10-Datos!BF10)/Datos!BF10),(Tasas!D10-Datos!BF10)/Datos!BF10," - ")</f>
        <v>-0.29435483870967732</v>
      </c>
      <c r="K10" s="396">
        <f>IF(ISNUMBER((Tasas!E10-Datos!BG10)/Datos!BG10),(Tasas!E10-Datos!BG10)/Datos!BG10," - ")</f>
        <v>-0.30867227676484349</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0.32219061166429586</v>
      </c>
      <c r="I12" s="395">
        <f>IF(ISNUMBER((Tasas!C12-Datos!BE12)/Datos!BE12),(Tasas!C12-Datos!BE12)/Datos!BE12," - ")</f>
        <v>-0.17400690160395199</v>
      </c>
      <c r="J12" s="394">
        <f>IF(ISNUMBER((Tasas!D12-Datos!BF12)/Datos!BF12),(Tasas!D12-Datos!BF12)/Datos!BF12," - ")</f>
        <v>-0.43473554794577918</v>
      </c>
      <c r="K12" s="396">
        <f>IF(ISNUMBER((Tasas!E12-Datos!BG12)/Datos!BG12),(Tasas!E12-Datos!BG12)/Datos!BG12," - ")</f>
        <v>-7.6285569763180197E-2</v>
      </c>
      <c r="M12" t="e">
        <f>IF(Monitorios="SI",Datos!CE12,0)</f>
        <v>#REF!</v>
      </c>
      <c r="N12" t="e">
        <f>IF(Monitorios="SI",Datos!CF12,0)</f>
        <v>#REF!</v>
      </c>
      <c r="O12" t="e">
        <f>IF(Monitorios="SI",Datos!CG12,0)</f>
        <v>#REF!</v>
      </c>
      <c r="P12" t="e">
        <f>IF(Monitorios="SI",Datos!CH12,0)</f>
        <v>#REF!</v>
      </c>
      <c r="Q12">
        <f>IF(J_V="SI",0,Datos!AG12)</f>
        <v>146</v>
      </c>
      <c r="R12">
        <f>IF(J_V="SI",0,Datos!AH12)</f>
        <v>398</v>
      </c>
      <c r="S12">
        <f>IF(J_V="SI",0,Datos!AI12)</f>
        <v>445</v>
      </c>
      <c r="T12">
        <f>IF(J_V="SI",0,Datos!AJ12)</f>
        <v>99</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0.32038834951456313</v>
      </c>
      <c r="I14" s="402">
        <f>IF(ISNUMBER((Tasas!C14-Datos!BE14)/Datos!BE14),(Tasas!C14-Datos!BE14)/Datos!BE14," - ")</f>
        <v>-0.17921440481439271</v>
      </c>
      <c r="J14" s="400">
        <f>IF(ISNUMBER((Tasas!D14-Datos!BF14)/Datos!BF14),(Tasas!D14-Datos!BF14)/Datos!BF14," - ")</f>
        <v>-0.43130319616594764</v>
      </c>
      <c r="K14" s="403">
        <f>IF(ISNUMBER((Tasas!E14-Datos!BG14)/Datos!BG14),(Tasas!E14-Datos!BG14)/Datos!BG14," - ")</f>
        <v>-7.9553685379196784E-2</v>
      </c>
      <c r="M14" t="e">
        <f>IF(Monitorios="SI",Datos!CE14,0)</f>
        <v>#REF!</v>
      </c>
      <c r="N14" t="e">
        <f>IF(Monitorios="SI",Datos!CF14,0)</f>
        <v>#REF!</v>
      </c>
      <c r="O14" t="e">
        <f>IF(Monitorios="SI",Datos!CG14,0)</f>
        <v>#REF!</v>
      </c>
      <c r="P14" t="e">
        <f>IF(Monitorios="SI",Datos!CH14,0)</f>
        <v>#REF!</v>
      </c>
      <c r="Q14">
        <f>IF(J_V="SI",0,Datos!AG14)</f>
        <v>146</v>
      </c>
      <c r="R14">
        <f>IF(J_V="SI",0,Datos!AH14)</f>
        <v>398</v>
      </c>
      <c r="S14">
        <f>IF(J_V="SI",0,Datos!AI14)</f>
        <v>445</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9.0465872156012997E-2</v>
      </c>
      <c r="E17" s="393">
        <f>IF(ISNUMBER(
   IF(D_I="SI",(Datos!J17-Datos!T17)/Datos!T17,(Datos!J17+Datos!AD17-(Datos!T17+Datos!AL17))/(Datos!T17+Datos!AL17))
     ),IF(D_I="SI",(Datos!J17-Datos!T17)/Datos!T17,(Datos!J17+Datos!AD17-(Datos!T17+Datos!AL17))/(Datos!T17+Datos!AL17))," - ")</f>
        <v>0.10262042993880433</v>
      </c>
      <c r="F17" s="393">
        <f>IF(ISNUMBER(
   IF(D_I="SI",(Datos!K17-Datos!U17)/Datos!U17,(Datos!K17+Datos!AE17-(Datos!U17+Datos!AM17))/(Datos!U17+Datos!AM17))
     ),IF(D_I="SI",(Datos!K17-Datos!U17)/Datos!U17,(Datos!K17+Datos!AE17-(Datos!U17+Datos!AM17))/(Datos!U17+Datos!AM17))," - ")</f>
        <v>5.0931876606683801E-2</v>
      </c>
      <c r="G17" s="394">
        <f>IF(ISNUMBER(
   IF(D_I="SI",(Datos!L17-Datos!V17)/Datos!V17,(Datos!L17+Datos!AF17-(Datos!V17+Datos!AN17))/(Datos!V17+Datos!AN17))
     ),IF(D_I="SI",(Datos!L17-Datos!V17)/Datos!V17,(Datos!L17+Datos!AF17-(Datos!V17+Datos!AN17))/(Datos!V17+Datos!AN17))," - ")</f>
        <v>-3.4277198211624442E-2</v>
      </c>
      <c r="H17" s="244">
        <f>IF(ISNUMBER((Datos!M17-Datos!W17)/Datos!W17),(Datos!M17-Datos!W17)/Datos!W17," - ")</f>
        <v>0.1118421052631579</v>
      </c>
      <c r="I17" s="395">
        <f>IF(ISNUMBER((Tasas!C17-Datos!BE17)/Datos!BE17),(Tasas!C17-Datos!BE17)/Datos!BE17," - ")</f>
        <v>-8.107954160971588E-2</v>
      </c>
      <c r="J17" s="394">
        <f>IF(ISNUMBER((Tasas!D17-Datos!BF17)/Datos!BF17),(Tasas!D17-Datos!BF17)/Datos!BF17," - ")</f>
        <v>5.7958303494556593E-2</v>
      </c>
      <c r="K17" s="396">
        <f>IF(ISNUMBER((Tasas!E17-Datos!BG17)/Datos!BG17),(Tasas!E17-Datos!BG17)/Datos!BG17," - ")</f>
        <v>4.6585913045901331E-2</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6.7476383265856948E-2</v>
      </c>
      <c r="F18" s="393">
        <f>IF(ISNUMBER(
   IF(D_I="SI",(Datos!K18-Datos!U18)/Datos!U18,(Datos!K18+Datos!AE18-(Datos!U18+Datos!AM18))/(Datos!U18+Datos!AM18))
     ),IF(D_I="SI",(Datos!K18-Datos!U18)/Datos!U18,(Datos!K18+Datos!AE18-(Datos!U18+Datos!AM18))/(Datos!U18+Datos!AM18))," - ")</f>
        <v>1.1392405063291139E-2</v>
      </c>
      <c r="G18" s="394">
        <f>IF(ISNUMBER(
   IF(D_I="SI",(Datos!L18-Datos!V18)/Datos!V18,(Datos!L18+Datos!AF18-(Datos!V18+Datos!AN18))/(Datos!V18+Datos!AN18))
     ),IF(D_I="SI",(Datos!L18-Datos!V18)/Datos!V18,(Datos!L18+Datos!AF18-(Datos!V18+Datos!AN18))/(Datos!V18+Datos!AN18))," - ")</f>
        <v>0.20689655172413793</v>
      </c>
      <c r="H18" s="244">
        <f>IF(ISNUMBER((Datos!M18-Datos!W18)/Datos!W18),(Datos!M18-Datos!W18)/Datos!W18," - ")</f>
        <v>-3.3980582524271843E-2</v>
      </c>
      <c r="I18" s="395">
        <f>IF(ISNUMBER((Tasas!C18-Datos!BE18)/Datos!BE18),(Tasas!C18-Datos!BE18)/Datos!BE18," - ")</f>
        <v>0.19330197229295229</v>
      </c>
      <c r="J18" s="394">
        <f>IF(ISNUMBER((Tasas!D18-Datos!BF18)/Datos!BF18),(Tasas!D18-Datos!BF18)/Datos!BF18," - ")</f>
        <v>-4.486190262099473E-2</v>
      </c>
      <c r="K18" s="396">
        <f>IF(ISNUMBER((Tasas!E18-Datos!BG18)/Datos!BG18),(Tasas!E18-Datos!BG18)/Datos!BG18," - ")</f>
        <v>1.3812555549509255E-2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-0.53333333333333333</v>
      </c>
      <c r="E21" s="393">
        <f>IF(ISNUMBER((Datos!J21-Datos!T21)/Datos!T21),(Datos!J21-Datos!T21)/Datos!T21," - ")</f>
        <v>0.12828947368421054</v>
      </c>
      <c r="F21" s="393">
        <f>IF(ISNUMBER((Datos!K21-Datos!U21)/Datos!U21),(Datos!K21-Datos!U21)/Datos!U21," - ")</f>
        <v>-3.9906103286384977E-2</v>
      </c>
      <c r="G21" s="394">
        <f>IF(ISNUMBER((Datos!L21-Datos!V21)/Datos!V21),(Datos!L21-Datos!V21)/Datos!V21," - ")</f>
        <v>0.92380952380952386</v>
      </c>
      <c r="H21" s="244">
        <f>IF(ISNUMBER((Datos!M21-Datos!W21)/Datos!W21),(Datos!M21-Datos!W21)/Datos!W21," - ")</f>
        <v>6.1452513966480445E-2</v>
      </c>
      <c r="I21" s="395">
        <f>IF(ISNUMBER((Tasas!C21-Datos!BE21)/Datos!BE21),(Tasas!C21-Datos!BE21)/Datos!BE21," - ")</f>
        <v>1.0037722668529514</v>
      </c>
      <c r="J21" s="394">
        <f>IF(ISNUMBER((Tasas!D21-Datos!BF21)/Datos!BF21),(Tasas!D21-Datos!BF21)/Datos!BF21," - ")</f>
        <v>0.10557156711423138</v>
      </c>
      <c r="K21" s="396">
        <f>IF(ISNUMBER((Tasas!E21-Datos!BG21)/Datos!BG21),(Tasas!E21-Datos!BG21)/Datos!BG21," - ")</f>
        <v>-0.11791866371481005</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8.3410565338276187E-3</v>
      </c>
      <c r="E23" s="399">
        <f>IF(ISNUMBER(
   IF(D_I="SI",(Datos!J23-Datos!T23)/Datos!T23,(Datos!J23+Datos!AD23-(Datos!T23+Datos!AL23))/(Datos!T23+Datos!AL23))
     ),IF(D_I="SI",(Datos!J23-Datos!T23)/Datos!T23,(Datos!J23+Datos!AD23-(Datos!T23+Datos!AL23))/(Datos!T23+Datos!AL23))," - ")</f>
        <v>0.10016176867080076</v>
      </c>
      <c r="F23" s="399">
        <f>IF(ISNUMBER(
   IF(D_I="SI",(Datos!K23-Datos!U23)/Datos!U23,(Datos!K23+Datos!AE23-(Datos!U23+Datos!AM23))/(Datos!U23+Datos!AM23))
     ),IF(D_I="SI",(Datos!K23-Datos!U23)/Datos!U23,(Datos!K23+Datos!AE23-(Datos!U23+Datos!AM23))/(Datos!U23+Datos!AM23))," - ")</f>
        <v>4.1532258064516131E-2</v>
      </c>
      <c r="G23" s="400">
        <f>IF(ISNUMBER(
   IF(D_I="SI",(Datos!L23-Datos!V23)/Datos!V23,(Datos!L23+Datos!AF23-(Datos!V23+Datos!AN23))/(Datos!V23+Datos!AN23))
     ),IF(D_I="SI",(Datos!L23-Datos!V23)/Datos!V23,(Datos!L23+Datos!AF23-(Datos!V23+Datos!AN23))/(Datos!V23+Datos!AN23))," - ")</f>
        <v>1.8382352941176471E-2</v>
      </c>
      <c r="H23" s="401">
        <f>IF(ISNUMBER((Datos!M23-Datos!W23)/Datos!W23),(Datos!M23-Datos!W23)/Datos!W23," - ")</f>
        <v>7.926829268292683E-2</v>
      </c>
      <c r="I23" s="402">
        <f>IF(ISNUMBER((Tasas!C23-Datos!BE23)/Datos!BE23),(Tasas!C23-Datos!BE23)/Datos!BE23," - ")</f>
        <v>-2.2226776889617699E-2</v>
      </c>
      <c r="J23" s="400">
        <f>IF(ISNUMBER((Tasas!D23-Datos!BF23)/Datos!BF23),(Tasas!D23-Datos!BF23)/Datos!BF23," - ")</f>
        <v>3.6231268236027292E-2</v>
      </c>
      <c r="K23" s="403">
        <f>IF(ISNUMBER((Tasas!E23-Datos!BG23)/Datos!BG23),(Tasas!E23-Datos!BG23)/Datos!BG23," - ")</f>
        <v>3.6424459005301363E-2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-8.646616541353383E-2</v>
      </c>
      <c r="E28" s="393">
        <f>IF(ISNUMBER((Datos!J28-Datos!T28)/Datos!T28),(Datos!J28-Datos!T28)/Datos!T28," - ")</f>
        <v>0.23565891472868217</v>
      </c>
      <c r="F28" s="393">
        <f>IF(ISNUMBER((Datos!K28-Datos!U28)/Datos!U28),(Datos!K28-Datos!U28)/Datos!U28," - ")</f>
        <v>0.10482019892884469</v>
      </c>
      <c r="G28" s="394">
        <f>IF(ISNUMBER((Datos!L28-Datos!V28)/Datos!V28),(Datos!L28-Datos!V28)/Datos!V28," - ")</f>
        <v>0.35802469135802467</v>
      </c>
      <c r="H28" s="244">
        <f>IF(ISNUMBER((Datos!M28-Datos!W28)/Datos!W28),(Datos!M28-Datos!W28)/Datos!W28," - ")</f>
        <v>-4.3478260869565216E-2</v>
      </c>
      <c r="I28" s="395">
        <f>IF(ISNUMBER((Tasas!C28-Datos!BE28)/Datos!BE28),(Tasas!C28-Datos!BE28)/Datos!BE28," - ")</f>
        <v>0.22918162853527588</v>
      </c>
      <c r="J28" s="394">
        <f>IF(ISNUMBER((Tasas!D28-Datos!BF28)/Datos!BF28),(Tasas!D28-Datos!BF28)/Datos!BF28," - ")</f>
        <v>-0.13422859207515356</v>
      </c>
      <c r="K28" s="396">
        <f>IF(ISNUMBER((Tasas!E28-Datos!BG28)/Datos!BG28),(Tasas!E28-Datos!BG28)/Datos!BG28," - ")</f>
        <v>6.8582255089760638E-2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-8.646616541353383E-2</v>
      </c>
      <c r="E30" s="1109">
        <f>IF(ISNUMBER((Datos!J30-Datos!T30)/Datos!T30),(Datos!J30-Datos!T30)/Datos!T30," - ")</f>
        <v>0.23565891472868217</v>
      </c>
      <c r="F30" s="1109">
        <f>IF(ISNUMBER((Datos!K30-Datos!U30)/Datos!U30),(Datos!K30-Datos!U30)/Datos!U30," - ")</f>
        <v>0.10482019892884469</v>
      </c>
      <c r="G30" s="1110">
        <f>IF(ISNUMBER((Datos!L30-Datos!V30)/Datos!V30),(Datos!L30-Datos!V30)/Datos!V30," - ")</f>
        <v>0.35802469135802467</v>
      </c>
      <c r="H30" s="1111">
        <f>IF(ISNUMBER((Datos!M30-Datos!W30)/Datos!W30),(Datos!M30-Datos!W30)/Datos!W30," - ")</f>
        <v>-4.3478260869565216E-2</v>
      </c>
      <c r="I30" s="1112">
        <f>IF(ISNUMBER((Tasas!C30-Datos!BE30)/Datos!BE30),(Tasas!C30-Datos!BE30)/Datos!BE30," - ")</f>
        <v>0.22918162853527588</v>
      </c>
      <c r="J30" s="1110">
        <f>IF(ISNUMBER((Tasas!D30-Datos!BF30)/Datos!BF30),(Tasas!D30-Datos!BF30)/Datos!BF30," - ")</f>
        <v>-0.13422859207515356</v>
      </c>
      <c r="K30" s="1113">
        <f>IF(ISNUMBER((Tasas!E30-Datos!BG30)/Datos!BG30),(Tasas!E30-Datos!BG30)/Datos!BG30," - ")</f>
        <v>6.8582255089760638E-2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4.1547810988465834E-2</v>
      </c>
      <c r="E31" s="409">
        <f>IF(ISNUMBER(
   IF(J_V="SI",(Datos!J31-Datos!T31)/Datos!T31,(Datos!J31+Datos!Z31-(Datos!T31+Datos!AH31))/(Datos!T31+Datos!AH31))
     ),IF(J_V="SI",(Datos!J31-Datos!T31)/Datos!T31,(Datos!J31+Datos!Z31-(Datos!T31+Datos!AH31))/(Datos!T31+Datos!AH31))," - ")</f>
        <v>0.19949780288763339</v>
      </c>
      <c r="F31" s="409">
        <f>IF(ISNUMBER(
   IF(J_V="SI",(Datos!K31-Datos!U31)/Datos!U31,(Datos!K31+Datos!AA31-(Datos!U31+Datos!AI31))/(Datos!U31+Datos!AI31))
     ),IF(J_V="SI",(Datos!K31-Datos!U31)/Datos!U31,(Datos!K31+Datos!AA31-(Datos!U31+Datos!AI31))/(Datos!U31+Datos!AI31))," - ")</f>
        <v>0.15766432756067728</v>
      </c>
      <c r="G31" s="410">
        <f>IF(ISNUMBER(
   IF(J_V="SI",(Datos!L31-Datos!V31)/Datos!V31,(Datos!L31+Datos!AB31-(Datos!V31+Datos!AJ31))/(Datos!V31+Datos!AJ31))
     ),IF(J_V="SI",(Datos!L31-Datos!V31)/Datos!V31,(Datos!L31+Datos!AB31-(Datos!V31+Datos!AJ31))/(Datos!V31+Datos!AJ31))," - ")</f>
        <v>6.0014289116456301E-2</v>
      </c>
      <c r="H31" s="411">
        <f>IF(ISNUMBER((Datos!M31-Datos!W31)/Datos!W31),(Datos!M31-Datos!W31)/Datos!W31," - ")</f>
        <v>0.16129968088192631</v>
      </c>
      <c r="I31" s="408">
        <f>IF(ISNUMBER((Tasas!C31-Datos!BE31)/Datos!BE31),(Tasas!C31-Datos!BE31)/Datos!BE31," - ")</f>
        <v>-8.4350909084311185E-2</v>
      </c>
      <c r="J31" s="409">
        <f>IF(ISNUMBER((Tasas!D31-Datos!BF31)/Datos!BF31),(Tasas!D31-Datos!BF31)/Datos!BF31," - ")</f>
        <v>-0.24666134301815734</v>
      </c>
      <c r="K31" s="410">
        <f>IF(ISNUMBER((Tasas!E31-Datos!BG31)/Datos!BG31),(Tasas!E31-Datos!BG31)/Datos!BG31," - ")</f>
        <v>-9.7149252412131164E-3</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0.21647718315166564</v>
      </c>
      <c r="E33" s="303">
        <f t="shared" si="1"/>
        <v>0.13033811902933362</v>
      </c>
      <c r="F33" s="303">
        <f t="shared" si="1"/>
        <v>0.27901866485665316</v>
      </c>
      <c r="G33" s="304">
        <f t="shared" si="1"/>
        <v>0.36972090247597039</v>
      </c>
      <c r="H33" s="310">
        <f t="shared" si="1"/>
        <v>0.1499601479952378</v>
      </c>
      <c r="I33" s="302">
        <f t="shared" si="1"/>
        <v>0.42982433292807548</v>
      </c>
      <c r="J33" s="303">
        <f t="shared" si="1"/>
        <v>0.20469446883713513</v>
      </c>
      <c r="K33" s="304">
        <f t="shared" si="1"/>
        <v>0.12295132553726179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uMQGGWLnXfbLrTfnuLqdOgOsE/MJ17HGxxGbivsmDRtRqMSWcSFcH6zNRWxMj6lL9xUu99uGUoDSKNkyKz4Xw==" saltValue="0BqgN2dncTHAh9hIspAC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